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64.xml" ContentType="application/vnd.openxmlformats-officedocument.drawingml.chart+xml"/>
  <Override PartName="/xl/charts/chart63.xml" ContentType="application/vnd.openxmlformats-officedocument.drawingml.chart+xml"/>
  <Override PartName="/xl/charts/chart62.xml" ContentType="application/vnd.openxmlformats-officedocument.drawingml.chart+xml"/>
  <Override PartName="/xl/charts/chart61.xml" ContentType="application/vnd.openxmlformats-officedocument.drawingml.chart+xml"/>
  <Override PartName="/xl/charts/chart60.xml" ContentType="application/vnd.openxmlformats-officedocument.drawingml.chart+xml"/>
  <Override PartName="/xl/charts/chart59.xml" ContentType="application/vnd.openxmlformats-officedocument.drawingml.chart+xml"/>
  <Override PartName="/xl/charts/chart58.xml" ContentType="application/vnd.openxmlformats-officedocument.drawingml.chart+xml"/>
  <Override PartName="/xl/charts/chart57.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74.xml" ContentType="application/vnd.openxmlformats-officedocument.drawingml.chart+xml"/>
  <Override PartName="/xl/charts/chart73.xml" ContentType="application/vnd.openxmlformats-officedocument.drawingml.chart+xml"/>
  <Override PartName="/xl/charts/chart72.xml" ContentType="application/vnd.openxmlformats-officedocument.drawingml.chart+xml"/>
  <Override PartName="/xl/charts/chart71.xml" ContentType="application/vnd.openxmlformats-officedocument.drawingml.chart+xml"/>
  <Override PartName="/xl/charts/chart70.xml" ContentType="application/vnd.openxmlformats-officedocument.drawingml.chart+xml"/>
  <Override PartName="/xl/charts/chart69.xml" ContentType="application/vnd.openxmlformats-officedocument.drawingml.chart+xml"/>
  <Override PartName="/xl/charts/chart68.xml" ContentType="application/vnd.openxmlformats-officedocument.drawingml.chart+xml"/>
  <Override PartName="/xl/charts/chart56.xml" ContentType="application/vnd.openxmlformats-officedocument.drawingml.chart+xml"/>
  <Override PartName="/xl/charts/chart55.xml" ContentType="application/vnd.openxmlformats-officedocument.drawingml.chart+xml"/>
  <Override PartName="/xl/charts/chart54.xml" ContentType="application/vnd.openxmlformats-officedocument.drawingml.chart+xml"/>
  <Override PartName="/xl/charts/chart44.xml" ContentType="application/vnd.openxmlformats-officedocument.drawingml.chart+xml"/>
  <Override PartName="/xl/drawings/drawing9.xml" ContentType="application/vnd.openxmlformats-officedocument.drawing+xml"/>
  <Override PartName="/xl/charts/chart43.xml" ContentType="application/vnd.openxmlformats-officedocument.drawingml.chart+xml"/>
  <Override PartName="/xl/charts/chart42.xml" ContentType="application/vnd.openxmlformats-officedocument.drawingml.chart+xml"/>
  <Override PartName="/xl/charts/chart41.xml" ContentType="application/vnd.openxmlformats-officedocument.drawingml.chart+xml"/>
  <Override PartName="/xl/charts/chart40.xml" ContentType="application/vnd.openxmlformats-officedocument.drawingml.chart+xml"/>
  <Override PartName="/xl/drawings/drawing8.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10.xml" ContentType="application/vnd.openxmlformats-officedocument.drawing+xml"/>
  <Override PartName="/xl/charts/chart53.xml" ContentType="application/vnd.openxmlformats-officedocument.drawingml.chart+xml"/>
  <Override PartName="/xl/charts/chart52.xml" ContentType="application/vnd.openxmlformats-officedocument.drawingml.chart+xml"/>
  <Override PartName="/xl/charts/chart51.xml" ContentType="application/vnd.openxmlformats-officedocument.drawingml.chart+xml"/>
  <Override PartName="/xl/charts/chart50.xml" ContentType="application/vnd.openxmlformats-officedocument.drawingml.chart+xml"/>
  <Override PartName="/xl/charts/chart49.xml" ContentType="application/vnd.openxmlformats-officedocument.drawingml.chart+xml"/>
  <Override PartName="/xl/charts/chart48.xml" ContentType="application/vnd.openxmlformats-officedocument.drawingml.chart+xml"/>
  <Override PartName="/xl/charts/chart47.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83.xml" ContentType="application/vnd.openxmlformats-officedocument.drawingml.chart+xml"/>
  <Override PartName="/xl/charts/chart82.xml" ContentType="application/vnd.openxmlformats-officedocument.drawingml.chart+xml"/>
  <Override PartName="/xl/charts/chart81.xml" ContentType="application/vnd.openxmlformats-officedocument.drawingml.chart+xml"/>
  <Override PartName="/xl/charts/chart80.xml" ContentType="application/vnd.openxmlformats-officedocument.drawingml.chart+xml"/>
  <Override PartName="/xl/charts/chart79.xml" ContentType="application/vnd.openxmlformats-officedocument.drawingml.chart+xml"/>
  <Override PartName="/xl/charts/chart78.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worksheets/sheet2.xml" ContentType="application/vnd.openxmlformats-officedocument.spreadsheetml.worksheet+xml"/>
  <Override PartName="/xl/worksheets/sheet3.xml" ContentType="application/vnd.openxmlformats-officedocument.spreadsheetml.worksheet+xml"/>
  <Override PartName="/xl/charts/chart88.xml" ContentType="application/vnd.openxmlformats-officedocument.drawingml.chart+xml"/>
  <Override PartName="/xl/charts/chart87.xml" ContentType="application/vnd.openxmlformats-officedocument.drawingml.chart+xml"/>
  <Override PartName="/xl/charts/chart39.xml" ContentType="application/vnd.openxmlformats-officedocument.drawingml.chart+xml"/>
  <Override PartName="/xl/worksheets/sheet1.xml" ContentType="application/vnd.openxmlformats-officedocument.spreadsheetml.worksheet+xml"/>
  <Override PartName="/xl/charts/chart37.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38.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2.xml" ContentType="application/vnd.openxmlformats-officedocument.drawingml.char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5.xml" ContentType="application/vnd.openxmlformats-officedocument.spreadsheetml.worksheet+xml"/>
  <Override PartName="/xl/charts/chart9.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27.xml" ContentType="application/vnd.openxmlformats-officedocument.drawingml.chart+xml"/>
  <Override PartName="/xl/charts/chart26.xml" ContentType="application/vnd.openxmlformats-officedocument.drawingml.chart+xml"/>
  <Override PartName="/xl/charts/chart25.xml" ContentType="application/vnd.openxmlformats-officedocument.drawingml.chart+xml"/>
  <Override PartName="/xl/charts/chart24.xml" ContentType="application/vnd.openxmlformats-officedocument.drawingml.chart+xml"/>
  <Override PartName="/xl/drawings/drawing6.xml" ContentType="application/vnd.openxmlformats-officedocument.drawing+xml"/>
  <Override PartName="/xl/charts/chart22.xml" ContentType="application/vnd.openxmlformats-officedocument.drawingml.chart+xml"/>
  <Override PartName="/xl/charts/chart21.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6.xml" ContentType="application/vnd.openxmlformats-officedocument.drawingml.chart+xml"/>
  <Override PartName="/xl/charts/chart35.xml" ContentType="application/vnd.openxmlformats-officedocument.drawingml.chart+xml"/>
  <Override PartName="/xl/charts/chart34.xml" ContentType="application/vnd.openxmlformats-officedocument.drawingml.chart+xml"/>
  <Override PartName="/xl/charts/chart33.xml" ContentType="application/vnd.openxmlformats-officedocument.drawingml.chart+xml"/>
  <Override PartName="/xl/drawings/drawing7.xml" ContentType="application/vnd.openxmlformats-officedocument.drawing+xml"/>
  <Override PartName="/xl/charts/chart32.xml" ContentType="application/vnd.openxmlformats-officedocument.drawingml.chart+xml"/>
  <Override PartName="/xl/charts/chart31.xml" ContentType="application/vnd.openxmlformats-officedocument.drawingml.chart+xml"/>
  <Override PartName="/xl/charts/chart20.xml" ContentType="application/vnd.openxmlformats-officedocument.drawingml.chart+xml"/>
  <Override PartName="/xl/charts/chart23.xml" ContentType="application/vnd.openxmlformats-officedocument.drawingml.chart+xml"/>
  <Override PartName="/xl/charts/chart17.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1.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EsteLivro" defaultThemeVersion="124226"/>
  <bookViews>
    <workbookView xWindow="360" yWindow="615" windowWidth="12990" windowHeight="8745" tabRatio="705"/>
  </bookViews>
  <sheets>
    <sheet name="INTRO" sheetId="20" r:id="rId1"/>
    <sheet name="PLS" sheetId="1" r:id="rId2"/>
    <sheet name="INDICE" sheetId="2" r:id="rId3"/>
    <sheet name="LIGA" sheetId="12" r:id="rId4"/>
    <sheet name="A01" sheetId="4" r:id="rId5"/>
    <sheet name="B01" sheetId="8" r:id="rId6"/>
    <sheet name="C01" sheetId="9" r:id="rId7"/>
    <sheet name="D01" sheetId="16" r:id="rId8"/>
    <sheet name="D02" sheetId="18" r:id="rId9"/>
    <sheet name="D03" sheetId="6" r:id="rId10"/>
    <sheet name="D04" sheetId="11" r:id="rId11"/>
    <sheet name="D05" sheetId="17" r:id="rId12"/>
    <sheet name="E01" sheetId="14" r:id="rId13"/>
    <sheet name="FTEC" sheetId="15" r:id="rId14"/>
    <sheet name="AUX" sheetId="5" r:id="rId15"/>
  </sheets>
  <definedNames>
    <definedName name="A50_G3">"A50_01,A50_26,A50_25,A50_G2,A50_22"</definedName>
  </definedNames>
  <calcPr calcId="125725"/>
</workbook>
</file>

<file path=xl/calcChain.xml><?xml version="1.0" encoding="utf-8"?>
<calcChain xmlns="http://schemas.openxmlformats.org/spreadsheetml/2006/main">
  <c r="A330" i="5"/>
  <c r="AQ456"/>
  <c r="AP456"/>
  <c r="AO456"/>
  <c r="AN456"/>
  <c r="AM456"/>
  <c r="AL456"/>
  <c r="AK456"/>
  <c r="AJ456"/>
  <c r="AI456"/>
  <c r="AH456"/>
  <c r="AG456"/>
  <c r="AF456"/>
  <c r="AE456"/>
  <c r="C330"/>
  <c r="D330"/>
  <c r="E330"/>
  <c r="F330"/>
  <c r="B330"/>
  <c r="A329"/>
  <c r="A328"/>
  <c r="A327"/>
  <c r="A326"/>
  <c r="A325"/>
  <c r="A324"/>
  <c r="A323"/>
  <c r="A322"/>
  <c r="A321"/>
  <c r="B67" i="18"/>
  <c r="L24" i="11" l="1"/>
  <c r="M24"/>
  <c r="N24"/>
  <c r="L25"/>
  <c r="M25"/>
  <c r="N25"/>
  <c r="L26"/>
  <c r="M26"/>
  <c r="N26"/>
  <c r="L27"/>
  <c r="M27"/>
  <c r="N27"/>
  <c r="L28"/>
  <c r="M28"/>
  <c r="N28"/>
  <c r="L29"/>
  <c r="M29"/>
  <c r="N29"/>
  <c r="L30"/>
  <c r="M30"/>
  <c r="N30"/>
  <c r="L31"/>
  <c r="M31"/>
  <c r="N31"/>
  <c r="L32"/>
  <c r="M32"/>
  <c r="N32"/>
  <c r="L33"/>
  <c r="M33"/>
  <c r="N33"/>
  <c r="L34"/>
  <c r="M34"/>
  <c r="N34"/>
  <c r="L35"/>
  <c r="M35"/>
  <c r="N35"/>
  <c r="L36"/>
  <c r="M36"/>
  <c r="N36"/>
  <c r="L37"/>
  <c r="M37"/>
  <c r="N37"/>
  <c r="L38"/>
  <c r="M38"/>
  <c r="N38"/>
  <c r="L39"/>
  <c r="M39"/>
  <c r="N39"/>
  <c r="L40"/>
  <c r="M40"/>
  <c r="N40"/>
  <c r="L41"/>
  <c r="M41"/>
  <c r="N41"/>
  <c r="L42"/>
  <c r="M42"/>
  <c r="N42"/>
  <c r="L43"/>
  <c r="M43"/>
  <c r="N43"/>
  <c r="L44"/>
  <c r="M44"/>
  <c r="N44"/>
  <c r="M23"/>
  <c r="N23"/>
  <c r="L23"/>
  <c r="BB442" i="5"/>
  <c r="BB441"/>
  <c r="BB440"/>
  <c r="BA442"/>
  <c r="BA441"/>
  <c r="BA440"/>
  <c r="AZ442"/>
  <c r="AZ441"/>
  <c r="AZ440"/>
  <c r="L45" i="11"/>
  <c r="I45"/>
  <c r="F134" i="8"/>
  <c r="E134"/>
  <c r="D134"/>
  <c r="C134"/>
  <c r="D22" i="20" l="1"/>
  <c r="F21"/>
  <c r="P86" i="17" l="1"/>
  <c r="N86"/>
  <c r="I86"/>
  <c r="J86"/>
  <c r="K86"/>
  <c r="L86"/>
  <c r="M86"/>
  <c r="H86"/>
  <c r="AE440" i="5"/>
  <c r="I57" i="14" s="1"/>
  <c r="AF440" i="5"/>
  <c r="I58" i="14" s="1"/>
  <c r="AG440" i="5"/>
  <c r="I59" i="14" s="1"/>
  <c r="AH440" i="5"/>
  <c r="I60" i="14" s="1"/>
  <c r="AI440" i="5"/>
  <c r="I61" i="14" s="1"/>
  <c r="AJ440" i="5"/>
  <c r="I62" i="14" s="1"/>
  <c r="AK440" i="5"/>
  <c r="I63" i="14" s="1"/>
  <c r="AL440" i="5"/>
  <c r="I64" i="14" s="1"/>
  <c r="AM440" i="5"/>
  <c r="I65" i="14" s="1"/>
  <c r="AN440" i="5"/>
  <c r="I66" i="14" s="1"/>
  <c r="AO440" i="5"/>
  <c r="I67" i="14" s="1"/>
  <c r="AP440" i="5"/>
  <c r="I68" i="14" s="1"/>
  <c r="AQ440" i="5"/>
  <c r="I69" i="14" s="1"/>
  <c r="G86" i="17"/>
  <c r="E86"/>
  <c r="D86"/>
  <c r="C86"/>
  <c r="P85"/>
  <c r="N85"/>
  <c r="H85"/>
  <c r="I85"/>
  <c r="J85"/>
  <c r="K85"/>
  <c r="L85"/>
  <c r="M85"/>
  <c r="G85"/>
  <c r="E85"/>
  <c r="D85"/>
  <c r="C85"/>
  <c r="P84"/>
  <c r="N84"/>
  <c r="H84"/>
  <c r="I84"/>
  <c r="J84"/>
  <c r="K84"/>
  <c r="L84"/>
  <c r="M84"/>
  <c r="G84"/>
  <c r="E84"/>
  <c r="D84"/>
  <c r="C84"/>
  <c r="C92"/>
  <c r="D92"/>
  <c r="E92"/>
  <c r="G92"/>
  <c r="H92"/>
  <c r="I92"/>
  <c r="J92"/>
  <c r="K92"/>
  <c r="L92"/>
  <c r="M92"/>
  <c r="N92"/>
  <c r="A428" i="5" l="1"/>
  <c r="A427"/>
  <c r="B86" i="17"/>
  <c r="B94"/>
  <c r="B85"/>
  <c r="B93"/>
  <c r="L56" i="6"/>
  <c r="M56"/>
  <c r="N56"/>
  <c r="L57"/>
  <c r="M57"/>
  <c r="N57"/>
  <c r="L58"/>
  <c r="M58"/>
  <c r="N58"/>
  <c r="L59"/>
  <c r="M59"/>
  <c r="N59"/>
  <c r="L60"/>
  <c r="M60"/>
  <c r="N60"/>
  <c r="L61"/>
  <c r="M61"/>
  <c r="N61"/>
  <c r="L62"/>
  <c r="M62"/>
  <c r="N62"/>
  <c r="L63"/>
  <c r="M63"/>
  <c r="N63"/>
  <c r="L64"/>
  <c r="M64"/>
  <c r="N64"/>
  <c r="L65"/>
  <c r="M65"/>
  <c r="N65"/>
  <c r="L66"/>
  <c r="M66"/>
  <c r="N66"/>
  <c r="L67"/>
  <c r="M67"/>
  <c r="N67"/>
  <c r="L68"/>
  <c r="M68"/>
  <c r="N68"/>
  <c r="L69"/>
  <c r="M69"/>
  <c r="N69"/>
  <c r="L70"/>
  <c r="M70"/>
  <c r="N70"/>
  <c r="L71"/>
  <c r="M71"/>
  <c r="N71"/>
  <c r="N55"/>
  <c r="M55"/>
  <c r="L55"/>
  <c r="M54"/>
  <c r="M52"/>
  <c r="L52"/>
  <c r="N51"/>
  <c r="N52"/>
  <c r="N53"/>
  <c r="L37"/>
  <c r="M37"/>
  <c r="N37"/>
  <c r="L38"/>
  <c r="M38"/>
  <c r="N38"/>
  <c r="L39"/>
  <c r="M39"/>
  <c r="N39"/>
  <c r="L40"/>
  <c r="M40"/>
  <c r="N40"/>
  <c r="L41"/>
  <c r="M41"/>
  <c r="N41"/>
  <c r="L42"/>
  <c r="M42"/>
  <c r="N42"/>
  <c r="L43"/>
  <c r="M43"/>
  <c r="N43"/>
  <c r="L44"/>
  <c r="M44"/>
  <c r="N44"/>
  <c r="L45"/>
  <c r="M45"/>
  <c r="N45"/>
  <c r="L46"/>
  <c r="M46"/>
  <c r="N46"/>
  <c r="L47"/>
  <c r="M47"/>
  <c r="N47"/>
  <c r="L48"/>
  <c r="M48"/>
  <c r="N48"/>
  <c r="L49"/>
  <c r="M49"/>
  <c r="N49"/>
  <c r="L50"/>
  <c r="M50"/>
  <c r="N50"/>
  <c r="M36"/>
  <c r="N36"/>
  <c r="L36"/>
  <c r="C66" i="9"/>
  <c r="C65"/>
  <c r="C64"/>
  <c r="C63"/>
  <c r="D20" i="15" l="1"/>
  <c r="D17"/>
  <c r="I49" i="9"/>
  <c r="L49"/>
  <c r="E32" i="8" l="1"/>
  <c r="E31"/>
  <c r="E30"/>
  <c r="E28"/>
  <c r="E27"/>
  <c r="E26"/>
  <c r="E24"/>
  <c r="E23"/>
  <c r="E22"/>
  <c r="E21"/>
  <c r="E20"/>
  <c r="B126" i="5" l="1"/>
  <c r="B72" i="6"/>
  <c r="C138" i="4" l="1"/>
  <c r="F123"/>
  <c r="F122"/>
  <c r="F121"/>
  <c r="F115"/>
  <c r="F114"/>
  <c r="F113"/>
  <c r="F108"/>
  <c r="F107"/>
  <c r="F106"/>
  <c r="B58" i="16"/>
  <c r="B51"/>
  <c r="B23"/>
  <c r="H23"/>
  <c r="B23" i="17"/>
  <c r="N17" i="9"/>
  <c r="N16"/>
  <c r="N15"/>
  <c r="M17"/>
  <c r="M16"/>
  <c r="M15"/>
  <c r="L17"/>
  <c r="L16"/>
  <c r="L15"/>
  <c r="K17"/>
  <c r="K16"/>
  <c r="K15"/>
  <c r="F17"/>
  <c r="F16"/>
  <c r="F15"/>
  <c r="E17"/>
  <c r="E16"/>
  <c r="E15"/>
  <c r="D17"/>
  <c r="D16"/>
  <c r="D15"/>
  <c r="C17"/>
  <c r="C16"/>
  <c r="C15"/>
  <c r="B440" i="5" l="1"/>
  <c r="B442"/>
  <c r="B441"/>
  <c r="I79" i="14"/>
  <c r="H79"/>
  <c r="G79"/>
  <c r="I78"/>
  <c r="H78"/>
  <c r="G78"/>
  <c r="I77"/>
  <c r="H77"/>
  <c r="G77"/>
  <c r="Q377" i="5" l="1"/>
  <c r="Q378"/>
  <c r="Q379"/>
  <c r="Q380"/>
  <c r="Q381"/>
  <c r="Q382"/>
  <c r="Q383"/>
  <c r="Q384"/>
  <c r="Q385"/>
  <c r="Q386"/>
  <c r="Q387"/>
  <c r="Q388"/>
  <c r="Q389"/>
  <c r="Q390"/>
  <c r="Q391"/>
  <c r="Q392"/>
  <c r="Q393"/>
  <c r="Q394"/>
  <c r="Q395"/>
  <c r="Q396"/>
  <c r="Q397"/>
  <c r="A397" s="1"/>
  <c r="Q376"/>
  <c r="A391" l="1"/>
  <c r="A396"/>
  <c r="A390"/>
  <c r="A382"/>
  <c r="A389"/>
  <c r="A381"/>
  <c r="A380"/>
  <c r="A387"/>
  <c r="A394"/>
  <c r="A386"/>
  <c r="A393"/>
  <c r="A377"/>
  <c r="A384"/>
  <c r="A383"/>
  <c r="A376"/>
  <c r="A388"/>
  <c r="A395"/>
  <c r="A379"/>
  <c r="A378"/>
  <c r="A385"/>
  <c r="A392"/>
  <c r="J45" i="14"/>
  <c r="J44"/>
  <c r="L45"/>
  <c r="L44"/>
  <c r="L43"/>
  <c r="J43"/>
  <c r="U442" i="5"/>
  <c r="H44" i="14" s="1"/>
  <c r="U441" i="5"/>
  <c r="G44" i="14" s="1"/>
  <c r="U440" i="5"/>
  <c r="I44" i="14" s="1"/>
  <c r="T442" i="5"/>
  <c r="H43" i="14" s="1"/>
  <c r="T441" i="5"/>
  <c r="G43" i="14" s="1"/>
  <c r="T440" i="5"/>
  <c r="I43" i="14" s="1"/>
  <c r="N455" i="5"/>
  <c r="N454"/>
  <c r="N453"/>
  <c r="N452"/>
  <c r="N451"/>
  <c r="N448"/>
  <c r="N447"/>
  <c r="N446"/>
  <c r="N445"/>
  <c r="N444"/>
  <c r="L33" i="14"/>
  <c r="J33"/>
  <c r="N442" i="5"/>
  <c r="N458" s="1"/>
  <c r="N441"/>
  <c r="N457" s="1"/>
  <c r="N440"/>
  <c r="I33" i="14" s="1"/>
  <c r="L442" i="5"/>
  <c r="L441"/>
  <c r="L440"/>
  <c r="N461" l="1"/>
  <c r="G33" i="14"/>
  <c r="N464" i="5"/>
  <c r="N462"/>
  <c r="N456"/>
  <c r="H33" i="14"/>
  <c r="N463" i="5"/>
  <c r="N460"/>
  <c r="AY458" l="1"/>
  <c r="AX458"/>
  <c r="AW458"/>
  <c r="L458"/>
  <c r="AY457"/>
  <c r="AX457"/>
  <c r="AW457"/>
  <c r="L457"/>
  <c r="AY456"/>
  <c r="AX456"/>
  <c r="AW456"/>
  <c r="L456"/>
  <c r="BB455"/>
  <c r="BA455"/>
  <c r="AZ455"/>
  <c r="AY455"/>
  <c r="AX455"/>
  <c r="AW455"/>
  <c r="AV455"/>
  <c r="AU455"/>
  <c r="AT455"/>
  <c r="AS455"/>
  <c r="AR455"/>
  <c r="AQ455"/>
  <c r="AP455"/>
  <c r="AO455"/>
  <c r="AN455"/>
  <c r="AM455"/>
  <c r="AL455"/>
  <c r="AK455"/>
  <c r="AJ455"/>
  <c r="AI455"/>
  <c r="AH455"/>
  <c r="AG455"/>
  <c r="AF455"/>
  <c r="AE455"/>
  <c r="AD455"/>
  <c r="AC455"/>
  <c r="AB455"/>
  <c r="AA455"/>
  <c r="Z455"/>
  <c r="Y455"/>
  <c r="V455"/>
  <c r="U455"/>
  <c r="T455"/>
  <c r="S455"/>
  <c r="R455"/>
  <c r="O455"/>
  <c r="M455"/>
  <c r="L455"/>
  <c r="BB454"/>
  <c r="BA454"/>
  <c r="AZ454"/>
  <c r="AY454"/>
  <c r="AX454"/>
  <c r="AW454"/>
  <c r="AV454"/>
  <c r="AU454"/>
  <c r="AT454"/>
  <c r="AS454"/>
  <c r="AR454"/>
  <c r="AQ454"/>
  <c r="AP454"/>
  <c r="AO454"/>
  <c r="AN454"/>
  <c r="AM454"/>
  <c r="AL454"/>
  <c r="AK454"/>
  <c r="AJ454"/>
  <c r="AI454"/>
  <c r="AH454"/>
  <c r="AG454"/>
  <c r="AF454"/>
  <c r="AE454"/>
  <c r="AD454"/>
  <c r="AC454"/>
  <c r="AB454"/>
  <c r="AA454"/>
  <c r="Z454"/>
  <c r="Y454"/>
  <c r="V454"/>
  <c r="U454"/>
  <c r="T454"/>
  <c r="S454"/>
  <c r="R454"/>
  <c r="O454"/>
  <c r="M454"/>
  <c r="L454"/>
  <c r="BB453"/>
  <c r="BA453"/>
  <c r="AZ453"/>
  <c r="AY453"/>
  <c r="AX453"/>
  <c r="AW453"/>
  <c r="AV453"/>
  <c r="AV461" s="1"/>
  <c r="AU453"/>
  <c r="AT453"/>
  <c r="AS453"/>
  <c r="AR453"/>
  <c r="AQ453"/>
  <c r="AP453"/>
  <c r="AO453"/>
  <c r="AN453"/>
  <c r="AN461" s="1"/>
  <c r="AM453"/>
  <c r="AL453"/>
  <c r="AK453"/>
  <c r="AJ453"/>
  <c r="AI453"/>
  <c r="AH453"/>
  <c r="AG453"/>
  <c r="AF453"/>
  <c r="AF461" s="1"/>
  <c r="AE453"/>
  <c r="AD453"/>
  <c r="AC453"/>
  <c r="AB453"/>
  <c r="AA453"/>
  <c r="Z453"/>
  <c r="Y453"/>
  <c r="V453"/>
  <c r="V461" s="1"/>
  <c r="U453"/>
  <c r="T453"/>
  <c r="S453"/>
  <c r="R453"/>
  <c r="O453"/>
  <c r="M453"/>
  <c r="L453"/>
  <c r="BB452"/>
  <c r="BA452"/>
  <c r="AZ452"/>
  <c r="AY452"/>
  <c r="AX452"/>
  <c r="AX464" s="1"/>
  <c r="AW452"/>
  <c r="AV452"/>
  <c r="AU452"/>
  <c r="AT452"/>
  <c r="AS452"/>
  <c r="AR452"/>
  <c r="AQ452"/>
  <c r="AP452"/>
  <c r="AP464" s="1"/>
  <c r="AO452"/>
  <c r="AN452"/>
  <c r="AM452"/>
  <c r="AL452"/>
  <c r="AK452"/>
  <c r="AJ452"/>
  <c r="AI452"/>
  <c r="AH452"/>
  <c r="AH464" s="1"/>
  <c r="AG452"/>
  <c r="AF452"/>
  <c r="AE452"/>
  <c r="AD452"/>
  <c r="AC452"/>
  <c r="AB452"/>
  <c r="AA452"/>
  <c r="Z452"/>
  <c r="Z464" s="1"/>
  <c r="Y452"/>
  <c r="V452"/>
  <c r="U452"/>
  <c r="T452"/>
  <c r="S452"/>
  <c r="R452"/>
  <c r="O452"/>
  <c r="M452"/>
  <c r="M464" s="1"/>
  <c r="L452"/>
  <c r="BB451"/>
  <c r="BA451"/>
  <c r="AZ451"/>
  <c r="AY451"/>
  <c r="AX451"/>
  <c r="AW451"/>
  <c r="AV451"/>
  <c r="AU451"/>
  <c r="AT451"/>
  <c r="AS451"/>
  <c r="AR451"/>
  <c r="AQ451"/>
  <c r="AP451"/>
  <c r="AO451"/>
  <c r="AN451"/>
  <c r="AM451"/>
  <c r="AL451"/>
  <c r="AK451"/>
  <c r="AJ451"/>
  <c r="AI451"/>
  <c r="AH451"/>
  <c r="AG451"/>
  <c r="AF451"/>
  <c r="AE451"/>
  <c r="AD451"/>
  <c r="AC451"/>
  <c r="AB451"/>
  <c r="AA451"/>
  <c r="Z451"/>
  <c r="Y451"/>
  <c r="V451"/>
  <c r="U451"/>
  <c r="T451"/>
  <c r="S451"/>
  <c r="R451"/>
  <c r="O451"/>
  <c r="M451"/>
  <c r="L451"/>
  <c r="BB448"/>
  <c r="BA448"/>
  <c r="AZ448"/>
  <c r="AY448"/>
  <c r="AX448"/>
  <c r="AW448"/>
  <c r="AV448"/>
  <c r="AU448"/>
  <c r="AT448"/>
  <c r="AS448"/>
  <c r="AR448"/>
  <c r="AQ448"/>
  <c r="AP448"/>
  <c r="AO448"/>
  <c r="AN448"/>
  <c r="AM448"/>
  <c r="AL448"/>
  <c r="AK448"/>
  <c r="AJ448"/>
  <c r="AI448"/>
  <c r="AH448"/>
  <c r="AG448"/>
  <c r="AF448"/>
  <c r="AE448"/>
  <c r="AD448"/>
  <c r="AC448"/>
  <c r="AB448"/>
  <c r="AA448"/>
  <c r="Z448"/>
  <c r="Y448"/>
  <c r="V448"/>
  <c r="U448"/>
  <c r="T448"/>
  <c r="S448"/>
  <c r="R448"/>
  <c r="O448"/>
  <c r="M448"/>
  <c r="L448"/>
  <c r="BB447"/>
  <c r="BA447"/>
  <c r="AZ447"/>
  <c r="AY447"/>
  <c r="AX447"/>
  <c r="AW447"/>
  <c r="AV447"/>
  <c r="AU447"/>
  <c r="AT447"/>
  <c r="AS447"/>
  <c r="AR447"/>
  <c r="AQ447"/>
  <c r="AP447"/>
  <c r="AO447"/>
  <c r="AN447"/>
  <c r="AM447"/>
  <c r="AL447"/>
  <c r="AK447"/>
  <c r="AJ447"/>
  <c r="AI447"/>
  <c r="AH447"/>
  <c r="AG447"/>
  <c r="AF447"/>
  <c r="AE447"/>
  <c r="AD447"/>
  <c r="AC447"/>
  <c r="AB447"/>
  <c r="AA447"/>
  <c r="Z447"/>
  <c r="Y447"/>
  <c r="V447"/>
  <c r="U447"/>
  <c r="T447"/>
  <c r="S447"/>
  <c r="R447"/>
  <c r="O447"/>
  <c r="M447"/>
  <c r="L447"/>
  <c r="BB446"/>
  <c r="BA446"/>
  <c r="AZ446"/>
  <c r="AY446"/>
  <c r="AX446"/>
  <c r="AW446"/>
  <c r="AV446"/>
  <c r="AU446"/>
  <c r="AT446"/>
  <c r="AS446"/>
  <c r="AR446"/>
  <c r="AQ446"/>
  <c r="AP446"/>
  <c r="AO446"/>
  <c r="AN446"/>
  <c r="AM446"/>
  <c r="AL446"/>
  <c r="AK446"/>
  <c r="AJ446"/>
  <c r="AI446"/>
  <c r="AH446"/>
  <c r="AG446"/>
  <c r="AF446"/>
  <c r="AE446"/>
  <c r="AD446"/>
  <c r="AC446"/>
  <c r="AB446"/>
  <c r="AA446"/>
  <c r="Z446"/>
  <c r="Y446"/>
  <c r="V446"/>
  <c r="U446"/>
  <c r="T446"/>
  <c r="S446"/>
  <c r="R446"/>
  <c r="O446"/>
  <c r="M446"/>
  <c r="L446"/>
  <c r="BB445"/>
  <c r="BA445"/>
  <c r="AZ445"/>
  <c r="AY445"/>
  <c r="AX445"/>
  <c r="AW445"/>
  <c r="AV445"/>
  <c r="AU445"/>
  <c r="AT445"/>
  <c r="AS445"/>
  <c r="AR445"/>
  <c r="AQ445"/>
  <c r="AP445"/>
  <c r="AO445"/>
  <c r="AN445"/>
  <c r="AM445"/>
  <c r="AL445"/>
  <c r="AK445"/>
  <c r="AJ445"/>
  <c r="AI445"/>
  <c r="AH445"/>
  <c r="AG445"/>
  <c r="AF445"/>
  <c r="AE445"/>
  <c r="AD445"/>
  <c r="AC445"/>
  <c r="AB445"/>
  <c r="AA445"/>
  <c r="Z445"/>
  <c r="Y445"/>
  <c r="V445"/>
  <c r="U445"/>
  <c r="T445"/>
  <c r="S445"/>
  <c r="R445"/>
  <c r="O445"/>
  <c r="M445"/>
  <c r="L445"/>
  <c r="BB444"/>
  <c r="BA444"/>
  <c r="AZ444"/>
  <c r="AY444"/>
  <c r="AX444"/>
  <c r="AW444"/>
  <c r="AV444"/>
  <c r="AU444"/>
  <c r="AT444"/>
  <c r="AS444"/>
  <c r="AR444"/>
  <c r="AQ444"/>
  <c r="AP444"/>
  <c r="AO444"/>
  <c r="AN444"/>
  <c r="AM444"/>
  <c r="AL444"/>
  <c r="AK444"/>
  <c r="AJ444"/>
  <c r="AI444"/>
  <c r="AH444"/>
  <c r="AG444"/>
  <c r="AF444"/>
  <c r="AE444"/>
  <c r="AD444"/>
  <c r="AC444"/>
  <c r="AB444"/>
  <c r="AA444"/>
  <c r="Z444"/>
  <c r="Y444"/>
  <c r="V444"/>
  <c r="U444"/>
  <c r="T444"/>
  <c r="S444"/>
  <c r="R444"/>
  <c r="O444"/>
  <c r="M444"/>
  <c r="L444"/>
  <c r="BB458"/>
  <c r="BA458"/>
  <c r="AZ458"/>
  <c r="AV442"/>
  <c r="AV458" s="1"/>
  <c r="AU442"/>
  <c r="AU458" s="1"/>
  <c r="AT442"/>
  <c r="AT458" s="1"/>
  <c r="AS442"/>
  <c r="AS458" s="1"/>
  <c r="AR442"/>
  <c r="AR458" s="1"/>
  <c r="AQ442"/>
  <c r="AQ458" s="1"/>
  <c r="AP442"/>
  <c r="AP458" s="1"/>
  <c r="AO442"/>
  <c r="AO458" s="1"/>
  <c r="AN442"/>
  <c r="AN458" s="1"/>
  <c r="AM442"/>
  <c r="AM458" s="1"/>
  <c r="AL442"/>
  <c r="AL458" s="1"/>
  <c r="AK442"/>
  <c r="AK458" s="1"/>
  <c r="AJ442"/>
  <c r="AJ458" s="1"/>
  <c r="AI442"/>
  <c r="AI458" s="1"/>
  <c r="AH442"/>
  <c r="AH458" s="1"/>
  <c r="AG442"/>
  <c r="AG458" s="1"/>
  <c r="AF442"/>
  <c r="AF458" s="1"/>
  <c r="AE442"/>
  <c r="AE458" s="1"/>
  <c r="AD442"/>
  <c r="AD458" s="1"/>
  <c r="AC442"/>
  <c r="AC458" s="1"/>
  <c r="AB442"/>
  <c r="AB458" s="1"/>
  <c r="AA442"/>
  <c r="AA458" s="1"/>
  <c r="Z442"/>
  <c r="Z458" s="1"/>
  <c r="Y442"/>
  <c r="Y458" s="1"/>
  <c r="V442"/>
  <c r="U458"/>
  <c r="T458"/>
  <c r="S442"/>
  <c r="S458" s="1"/>
  <c r="R442"/>
  <c r="R458" s="1"/>
  <c r="O442"/>
  <c r="O458" s="1"/>
  <c r="M442"/>
  <c r="M458" s="1"/>
  <c r="BB457"/>
  <c r="BA457"/>
  <c r="AZ457"/>
  <c r="AV441"/>
  <c r="AV457" s="1"/>
  <c r="AU441"/>
  <c r="AU457" s="1"/>
  <c r="AT441"/>
  <c r="AT457" s="1"/>
  <c r="AS441"/>
  <c r="AS457" s="1"/>
  <c r="AR441"/>
  <c r="AR457" s="1"/>
  <c r="AQ441"/>
  <c r="AQ457" s="1"/>
  <c r="AP441"/>
  <c r="AP457" s="1"/>
  <c r="AO441"/>
  <c r="AO457" s="1"/>
  <c r="AN441"/>
  <c r="AN457" s="1"/>
  <c r="AM441"/>
  <c r="AM457" s="1"/>
  <c r="AL441"/>
  <c r="AL457" s="1"/>
  <c r="AK441"/>
  <c r="AK457" s="1"/>
  <c r="AJ441"/>
  <c r="AJ457" s="1"/>
  <c r="AI441"/>
  <c r="AI457" s="1"/>
  <c r="AH441"/>
  <c r="AH457" s="1"/>
  <c r="AG441"/>
  <c r="AG457" s="1"/>
  <c r="AF441"/>
  <c r="AF457" s="1"/>
  <c r="AE441"/>
  <c r="AE457" s="1"/>
  <c r="AD441"/>
  <c r="AD457" s="1"/>
  <c r="AC441"/>
  <c r="AC457" s="1"/>
  <c r="AB441"/>
  <c r="AB457" s="1"/>
  <c r="AA441"/>
  <c r="AA457" s="1"/>
  <c r="Z441"/>
  <c r="Z457" s="1"/>
  <c r="Y441"/>
  <c r="Y457" s="1"/>
  <c r="V441"/>
  <c r="U457"/>
  <c r="T457"/>
  <c r="S441"/>
  <c r="S457" s="1"/>
  <c r="R441"/>
  <c r="R457" s="1"/>
  <c r="O441"/>
  <c r="O457" s="1"/>
  <c r="M441"/>
  <c r="M457" s="1"/>
  <c r="BB456"/>
  <c r="BA456"/>
  <c r="AZ456"/>
  <c r="AV440"/>
  <c r="AV456" s="1"/>
  <c r="AU440"/>
  <c r="AU456" s="1"/>
  <c r="AT440"/>
  <c r="AT456" s="1"/>
  <c r="AS440"/>
  <c r="AS456" s="1"/>
  <c r="AR440"/>
  <c r="AR456" s="1"/>
  <c r="AD440"/>
  <c r="AD456" s="1"/>
  <c r="AC440"/>
  <c r="AC456" s="1"/>
  <c r="AB440"/>
  <c r="AB456" s="1"/>
  <c r="AA440"/>
  <c r="AA456" s="1"/>
  <c r="Z440"/>
  <c r="Z456" s="1"/>
  <c r="Y440"/>
  <c r="Y456" s="1"/>
  <c r="V440"/>
  <c r="U456"/>
  <c r="T456"/>
  <c r="S440"/>
  <c r="S456" s="1"/>
  <c r="R440"/>
  <c r="R456" s="1"/>
  <c r="O440"/>
  <c r="O456" s="1"/>
  <c r="M440"/>
  <c r="M456" s="1"/>
  <c r="J441"/>
  <c r="K441"/>
  <c r="J442"/>
  <c r="K442"/>
  <c r="J444"/>
  <c r="K444"/>
  <c r="J445"/>
  <c r="K445"/>
  <c r="J446"/>
  <c r="K446"/>
  <c r="J447"/>
  <c r="K447"/>
  <c r="J448"/>
  <c r="K448"/>
  <c r="J451"/>
  <c r="K451"/>
  <c r="J452"/>
  <c r="K452"/>
  <c r="J453"/>
  <c r="K453"/>
  <c r="J454"/>
  <c r="J460" s="1"/>
  <c r="K454"/>
  <c r="J455"/>
  <c r="K455"/>
  <c r="J457"/>
  <c r="K457"/>
  <c r="J458"/>
  <c r="K458"/>
  <c r="I54" i="17"/>
  <c r="K464" i="5" l="1"/>
  <c r="S464"/>
  <c r="AC464"/>
  <c r="AK464"/>
  <c r="AS464"/>
  <c r="BA464"/>
  <c r="L464"/>
  <c r="Y464"/>
  <c r="AG464"/>
  <c r="AO464"/>
  <c r="AW464"/>
  <c r="K463"/>
  <c r="O461"/>
  <c r="AA461"/>
  <c r="AI461"/>
  <c r="AQ461"/>
  <c r="AY461"/>
  <c r="K462"/>
  <c r="J464"/>
  <c r="J461"/>
  <c r="R464"/>
  <c r="AB464"/>
  <c r="AJ464"/>
  <c r="AR464"/>
  <c r="AZ464"/>
  <c r="T464"/>
  <c r="AD464"/>
  <c r="AL464"/>
  <c r="AT464"/>
  <c r="BB464"/>
  <c r="R461"/>
  <c r="AJ461"/>
  <c r="AZ461"/>
  <c r="AB461"/>
  <c r="AR461"/>
  <c r="O464"/>
  <c r="AA464"/>
  <c r="AI464"/>
  <c r="AQ464"/>
  <c r="AY464"/>
  <c r="K460"/>
  <c r="AK461"/>
  <c r="V456"/>
  <c r="I45" i="14"/>
  <c r="U461" i="5"/>
  <c r="AE461"/>
  <c r="AM461"/>
  <c r="AU461"/>
  <c r="V458"/>
  <c r="H45" i="14"/>
  <c r="AC461" i="5"/>
  <c r="J463"/>
  <c r="K461"/>
  <c r="V457"/>
  <c r="G45" i="14"/>
  <c r="U464" i="5"/>
  <c r="AE464"/>
  <c r="AM464"/>
  <c r="AU464"/>
  <c r="L461"/>
  <c r="Y461"/>
  <c r="AG461"/>
  <c r="AO461"/>
  <c r="AW461"/>
  <c r="S461"/>
  <c r="AS461"/>
  <c r="J462"/>
  <c r="V464"/>
  <c r="AF464"/>
  <c r="AN464"/>
  <c r="AV464"/>
  <c r="M461"/>
  <c r="Z461"/>
  <c r="AH461"/>
  <c r="AP461"/>
  <c r="AX461"/>
  <c r="BA461"/>
  <c r="T461"/>
  <c r="AD461"/>
  <c r="AL461"/>
  <c r="AT461"/>
  <c r="BB461"/>
  <c r="M463"/>
  <c r="R463"/>
  <c r="T463"/>
  <c r="V463"/>
  <c r="Z463"/>
  <c r="AB463"/>
  <c r="AD463"/>
  <c r="AF463"/>
  <c r="AH463"/>
  <c r="AJ463"/>
  <c r="AL463"/>
  <c r="AN463"/>
  <c r="AP463"/>
  <c r="AR463"/>
  <c r="AT463"/>
  <c r="AV463"/>
  <c r="AX463"/>
  <c r="AZ463"/>
  <c r="BB463"/>
  <c r="M462"/>
  <c r="R462"/>
  <c r="T462"/>
  <c r="V462"/>
  <c r="Z462"/>
  <c r="AB462"/>
  <c r="AD462"/>
  <c r="AF462"/>
  <c r="AH462"/>
  <c r="AJ462"/>
  <c r="AL462"/>
  <c r="AN462"/>
  <c r="AP462"/>
  <c r="AR462"/>
  <c r="AT462"/>
  <c r="AV462"/>
  <c r="AX462"/>
  <c r="AZ462"/>
  <c r="BB462"/>
  <c r="L463"/>
  <c r="O463"/>
  <c r="S463"/>
  <c r="U463"/>
  <c r="Y463"/>
  <c r="AA463"/>
  <c r="AC463"/>
  <c r="AE463"/>
  <c r="AG463"/>
  <c r="AI463"/>
  <c r="AK463"/>
  <c r="AM463"/>
  <c r="AO463"/>
  <c r="AQ463"/>
  <c r="AS463"/>
  <c r="AU463"/>
  <c r="AW463"/>
  <c r="AY463"/>
  <c r="BA463"/>
  <c r="L462"/>
  <c r="O462"/>
  <c r="S462"/>
  <c r="U462"/>
  <c r="Y462"/>
  <c r="AA462"/>
  <c r="AC462"/>
  <c r="AE462"/>
  <c r="AG462"/>
  <c r="AI462"/>
  <c r="AK462"/>
  <c r="AM462"/>
  <c r="AO462"/>
  <c r="AQ462"/>
  <c r="AS462"/>
  <c r="AU462"/>
  <c r="AW462"/>
  <c r="AY462"/>
  <c r="BA462"/>
  <c r="M460"/>
  <c r="R460"/>
  <c r="T460"/>
  <c r="V460"/>
  <c r="Z460"/>
  <c r="AB460"/>
  <c r="AD460"/>
  <c r="AF460"/>
  <c r="AH460"/>
  <c r="AJ460"/>
  <c r="AL460"/>
  <c r="AN460"/>
  <c r="AP460"/>
  <c r="AR460"/>
  <c r="AT460"/>
  <c r="AV460"/>
  <c r="AX460"/>
  <c r="AZ460"/>
  <c r="BB460"/>
  <c r="L460"/>
  <c r="O460"/>
  <c r="S460"/>
  <c r="U460"/>
  <c r="Y460"/>
  <c r="AA460"/>
  <c r="AC460"/>
  <c r="AE460"/>
  <c r="AG460"/>
  <c r="AI460"/>
  <c r="AK460"/>
  <c r="AM460"/>
  <c r="AO460"/>
  <c r="AQ460"/>
  <c r="AS460"/>
  <c r="AU460"/>
  <c r="AW460"/>
  <c r="AY460"/>
  <c r="BA460"/>
  <c r="C136" i="8"/>
  <c r="D136"/>
  <c r="E136"/>
  <c r="F136"/>
  <c r="C137"/>
  <c r="D137"/>
  <c r="E137"/>
  <c r="F137"/>
  <c r="C138"/>
  <c r="D138"/>
  <c r="E138"/>
  <c r="F138"/>
  <c r="C139"/>
  <c r="D139"/>
  <c r="E139"/>
  <c r="F139"/>
  <c r="C140"/>
  <c r="D140"/>
  <c r="E140"/>
  <c r="F140"/>
  <c r="C141"/>
  <c r="D141"/>
  <c r="E141"/>
  <c r="F141"/>
  <c r="C142"/>
  <c r="D142"/>
  <c r="E142"/>
  <c r="F142"/>
  <c r="C143"/>
  <c r="D143"/>
  <c r="E143"/>
  <c r="F143"/>
  <c r="C144"/>
  <c r="D144"/>
  <c r="E144"/>
  <c r="F144"/>
  <c r="C145"/>
  <c r="D145"/>
  <c r="E145"/>
  <c r="F145"/>
  <c r="C146"/>
  <c r="D146"/>
  <c r="E146"/>
  <c r="F146"/>
  <c r="C147"/>
  <c r="D147"/>
  <c r="E147"/>
  <c r="F147"/>
  <c r="C148"/>
  <c r="D148"/>
  <c r="E148"/>
  <c r="F148"/>
  <c r="C149"/>
  <c r="D149"/>
  <c r="E149"/>
  <c r="F149"/>
  <c r="C150"/>
  <c r="D150"/>
  <c r="E150"/>
  <c r="F150"/>
  <c r="D135"/>
  <c r="E135"/>
  <c r="F135"/>
  <c r="C135"/>
  <c r="C163"/>
  <c r="D133"/>
  <c r="E133"/>
  <c r="F133"/>
  <c r="C133"/>
  <c r="H55" i="14" l="1"/>
  <c r="G55"/>
  <c r="I54"/>
  <c r="I51"/>
  <c r="H53"/>
  <c r="H52"/>
  <c r="G53"/>
  <c r="I55"/>
  <c r="H54"/>
  <c r="G54"/>
  <c r="I53"/>
  <c r="G52"/>
  <c r="I52"/>
  <c r="H51"/>
  <c r="G51"/>
  <c r="H41" l="1"/>
  <c r="G41"/>
  <c r="I41"/>
  <c r="H40"/>
  <c r="G40"/>
  <c r="I40"/>
  <c r="H34" l="1"/>
  <c r="G34"/>
  <c r="I34"/>
  <c r="H31"/>
  <c r="G31"/>
  <c r="I31"/>
  <c r="J31"/>
  <c r="L31"/>
  <c r="L32"/>
  <c r="J32"/>
  <c r="H32"/>
  <c r="G32"/>
  <c r="I32"/>
  <c r="G442" i="5"/>
  <c r="G441"/>
  <c r="G440"/>
  <c r="F442"/>
  <c r="F441"/>
  <c r="F440"/>
  <c r="E442"/>
  <c r="E441"/>
  <c r="E440"/>
  <c r="D442"/>
  <c r="D441"/>
  <c r="D440"/>
  <c r="H39" i="14"/>
  <c r="H50"/>
  <c r="H28"/>
  <c r="H17"/>
  <c r="A458" i="5"/>
  <c r="C442"/>
  <c r="C441"/>
  <c r="C440"/>
  <c r="I97" i="17" l="1"/>
  <c r="P93"/>
  <c r="P94"/>
  <c r="N93"/>
  <c r="N94"/>
  <c r="G93"/>
  <c r="H93"/>
  <c r="I93"/>
  <c r="J93"/>
  <c r="K93"/>
  <c r="L93"/>
  <c r="M93"/>
  <c r="G94"/>
  <c r="H94"/>
  <c r="I94"/>
  <c r="J94"/>
  <c r="K94"/>
  <c r="L94"/>
  <c r="M94"/>
  <c r="E93"/>
  <c r="E94"/>
  <c r="C93"/>
  <c r="D93"/>
  <c r="C94"/>
  <c r="D94"/>
  <c r="P92"/>
  <c r="B54"/>
  <c r="P31"/>
  <c r="P32"/>
  <c r="N31"/>
  <c r="N32"/>
  <c r="G31"/>
  <c r="H31"/>
  <c r="I31"/>
  <c r="J31"/>
  <c r="K31"/>
  <c r="L31"/>
  <c r="M31"/>
  <c r="G32"/>
  <c r="H32"/>
  <c r="I32"/>
  <c r="J32"/>
  <c r="K32"/>
  <c r="L32"/>
  <c r="M32"/>
  <c r="E31"/>
  <c r="E32"/>
  <c r="C31"/>
  <c r="D31"/>
  <c r="C32"/>
  <c r="D32"/>
  <c r="P30"/>
  <c r="N30"/>
  <c r="M30"/>
  <c r="L30"/>
  <c r="K30"/>
  <c r="J30"/>
  <c r="I30"/>
  <c r="H30"/>
  <c r="G30"/>
  <c r="E30"/>
  <c r="D30"/>
  <c r="C30"/>
  <c r="P23"/>
  <c r="P24"/>
  <c r="N23"/>
  <c r="N24"/>
  <c r="G23"/>
  <c r="H23"/>
  <c r="I23"/>
  <c r="J23"/>
  <c r="K23"/>
  <c r="L23"/>
  <c r="M23"/>
  <c r="G24"/>
  <c r="H24"/>
  <c r="I24"/>
  <c r="J24"/>
  <c r="K24"/>
  <c r="L24"/>
  <c r="M24"/>
  <c r="E23"/>
  <c r="E24"/>
  <c r="C23"/>
  <c r="D23"/>
  <c r="C24"/>
  <c r="D24"/>
  <c r="P22"/>
  <c r="N22"/>
  <c r="M22"/>
  <c r="I22"/>
  <c r="J22"/>
  <c r="K22"/>
  <c r="L22"/>
  <c r="H22"/>
  <c r="G22"/>
  <c r="E22"/>
  <c r="D22"/>
  <c r="C22"/>
  <c r="A421" i="5" l="1"/>
  <c r="A420"/>
  <c r="A413"/>
  <c r="A412"/>
  <c r="A405"/>
  <c r="B24" i="17"/>
  <c r="C78" i="11"/>
  <c r="C79"/>
  <c r="C80"/>
  <c r="C81"/>
  <c r="C82"/>
  <c r="C83"/>
  <c r="C84"/>
  <c r="C85"/>
  <c r="C86"/>
  <c r="C87"/>
  <c r="C88"/>
  <c r="C89"/>
  <c r="C90"/>
  <c r="C91"/>
  <c r="C92"/>
  <c r="C93"/>
  <c r="C94"/>
  <c r="C95"/>
  <c r="C96"/>
  <c r="C97"/>
  <c r="C98"/>
  <c r="C77"/>
  <c r="N22"/>
  <c r="M22"/>
  <c r="L22"/>
  <c r="L21"/>
  <c r="I21"/>
  <c r="F21"/>
  <c r="U399" i="5"/>
  <c r="V399"/>
  <c r="W399"/>
  <c r="X399"/>
  <c r="Y399"/>
  <c r="Z399"/>
  <c r="AA399"/>
  <c r="AB399"/>
  <c r="AC399"/>
  <c r="AD399"/>
  <c r="AE399"/>
  <c r="AF399"/>
  <c r="V398"/>
  <c r="W398"/>
  <c r="X398"/>
  <c r="Y398"/>
  <c r="Z398"/>
  <c r="AA398"/>
  <c r="AB398"/>
  <c r="AC398"/>
  <c r="AD398"/>
  <c r="AE398"/>
  <c r="AF398"/>
  <c r="U398"/>
  <c r="S399"/>
  <c r="T399"/>
  <c r="T398"/>
  <c r="S398"/>
  <c r="AD374" l="1"/>
  <c r="AA374"/>
  <c r="X374"/>
  <c r="M374"/>
  <c r="J374"/>
  <c r="G374"/>
  <c r="Q37" i="6" l="1"/>
  <c r="R37"/>
  <c r="S37"/>
  <c r="T37"/>
  <c r="U37"/>
  <c r="V37"/>
  <c r="Q38"/>
  <c r="R38"/>
  <c r="S38"/>
  <c r="T38"/>
  <c r="U38"/>
  <c r="V38"/>
  <c r="Q39"/>
  <c r="R39"/>
  <c r="S39"/>
  <c r="T39"/>
  <c r="U39"/>
  <c r="V39"/>
  <c r="Q40"/>
  <c r="R40"/>
  <c r="S40"/>
  <c r="T40"/>
  <c r="U40"/>
  <c r="V40"/>
  <c r="Q41"/>
  <c r="R41"/>
  <c r="S41"/>
  <c r="T41"/>
  <c r="U41"/>
  <c r="V41"/>
  <c r="Q42"/>
  <c r="R42"/>
  <c r="S42"/>
  <c r="T42"/>
  <c r="U42"/>
  <c r="V42"/>
  <c r="Q43"/>
  <c r="R43"/>
  <c r="S43"/>
  <c r="T43"/>
  <c r="U43"/>
  <c r="V43"/>
  <c r="Q44"/>
  <c r="R44"/>
  <c r="S44"/>
  <c r="T44"/>
  <c r="U44"/>
  <c r="V44"/>
  <c r="Q45"/>
  <c r="R45"/>
  <c r="S45"/>
  <c r="T45"/>
  <c r="U45"/>
  <c r="V45"/>
  <c r="Q46"/>
  <c r="R46"/>
  <c r="S46"/>
  <c r="T46"/>
  <c r="U46"/>
  <c r="V46"/>
  <c r="Q47"/>
  <c r="R47"/>
  <c r="S47"/>
  <c r="T47"/>
  <c r="U47"/>
  <c r="V47"/>
  <c r="Q48"/>
  <c r="R48"/>
  <c r="S48"/>
  <c r="T48"/>
  <c r="U48"/>
  <c r="V48"/>
  <c r="Q49"/>
  <c r="R49"/>
  <c r="S49"/>
  <c r="T49"/>
  <c r="U49"/>
  <c r="V49"/>
  <c r="Q50"/>
  <c r="R50"/>
  <c r="S50"/>
  <c r="T50"/>
  <c r="U50"/>
  <c r="V50"/>
  <c r="Q51"/>
  <c r="R51"/>
  <c r="S51"/>
  <c r="T51"/>
  <c r="U51"/>
  <c r="V51"/>
  <c r="Q52"/>
  <c r="R52"/>
  <c r="S52"/>
  <c r="T52"/>
  <c r="U52"/>
  <c r="V52"/>
  <c r="Q53"/>
  <c r="R53"/>
  <c r="S53"/>
  <c r="T53"/>
  <c r="U53"/>
  <c r="V53"/>
  <c r="Q54"/>
  <c r="R54"/>
  <c r="S54"/>
  <c r="T54"/>
  <c r="U54"/>
  <c r="V54"/>
  <c r="Q55"/>
  <c r="R55"/>
  <c r="S55"/>
  <c r="T55"/>
  <c r="U55"/>
  <c r="V55"/>
  <c r="Q56"/>
  <c r="R56"/>
  <c r="S56"/>
  <c r="T56"/>
  <c r="U56"/>
  <c r="V56"/>
  <c r="Q57"/>
  <c r="R57"/>
  <c r="S57"/>
  <c r="T57"/>
  <c r="U57"/>
  <c r="V57"/>
  <c r="Q58"/>
  <c r="R58"/>
  <c r="S58"/>
  <c r="T58"/>
  <c r="U58"/>
  <c r="V58"/>
  <c r="Q59"/>
  <c r="R59"/>
  <c r="S59"/>
  <c r="T59"/>
  <c r="U59"/>
  <c r="V59"/>
  <c r="Q60"/>
  <c r="R60"/>
  <c r="S60"/>
  <c r="T60"/>
  <c r="U60"/>
  <c r="V60"/>
  <c r="Q61"/>
  <c r="R61"/>
  <c r="S61"/>
  <c r="T61"/>
  <c r="U61"/>
  <c r="V61"/>
  <c r="Q62"/>
  <c r="R62"/>
  <c r="S62"/>
  <c r="T62"/>
  <c r="U62"/>
  <c r="V62"/>
  <c r="Q63"/>
  <c r="R63"/>
  <c r="S63"/>
  <c r="T63"/>
  <c r="U63"/>
  <c r="V63"/>
  <c r="Q64"/>
  <c r="R64"/>
  <c r="S64"/>
  <c r="T64"/>
  <c r="U64"/>
  <c r="V64"/>
  <c r="Q65"/>
  <c r="R65"/>
  <c r="S65"/>
  <c r="T65"/>
  <c r="U65"/>
  <c r="V65"/>
  <c r="Q66"/>
  <c r="R66"/>
  <c r="S66"/>
  <c r="T66"/>
  <c r="U66"/>
  <c r="V66"/>
  <c r="Q67"/>
  <c r="R67"/>
  <c r="S67"/>
  <c r="T67"/>
  <c r="U67"/>
  <c r="V67"/>
  <c r="Q68"/>
  <c r="R68"/>
  <c r="S68"/>
  <c r="T68"/>
  <c r="U68"/>
  <c r="V68"/>
  <c r="Q69"/>
  <c r="R69"/>
  <c r="S69"/>
  <c r="T69"/>
  <c r="U69"/>
  <c r="V69"/>
  <c r="Q70"/>
  <c r="R70"/>
  <c r="S70"/>
  <c r="T70"/>
  <c r="U70"/>
  <c r="V70"/>
  <c r="Q71"/>
  <c r="R71"/>
  <c r="S71"/>
  <c r="T71"/>
  <c r="U71"/>
  <c r="V71"/>
  <c r="H37"/>
  <c r="I37"/>
  <c r="J37"/>
  <c r="H38"/>
  <c r="I38"/>
  <c r="J38"/>
  <c r="H39"/>
  <c r="I39"/>
  <c r="J39"/>
  <c r="H40"/>
  <c r="I40"/>
  <c r="J40"/>
  <c r="H41"/>
  <c r="I41"/>
  <c r="J41"/>
  <c r="H42"/>
  <c r="I42"/>
  <c r="J42"/>
  <c r="H43"/>
  <c r="I43"/>
  <c r="J43"/>
  <c r="H44"/>
  <c r="I44"/>
  <c r="J44"/>
  <c r="H45"/>
  <c r="I45"/>
  <c r="J45"/>
  <c r="H46"/>
  <c r="I46"/>
  <c r="J46"/>
  <c r="H47"/>
  <c r="I47"/>
  <c r="J47"/>
  <c r="H48"/>
  <c r="I48"/>
  <c r="J48"/>
  <c r="H49"/>
  <c r="I49"/>
  <c r="J49"/>
  <c r="H50"/>
  <c r="I50"/>
  <c r="J50"/>
  <c r="J51"/>
  <c r="H52"/>
  <c r="I52"/>
  <c r="J52"/>
  <c r="J53"/>
  <c r="I54"/>
  <c r="H55"/>
  <c r="I55"/>
  <c r="J55"/>
  <c r="H56"/>
  <c r="I56"/>
  <c r="J56"/>
  <c r="H57"/>
  <c r="I57"/>
  <c r="J57"/>
  <c r="H58"/>
  <c r="I58"/>
  <c r="J58"/>
  <c r="H59"/>
  <c r="I59"/>
  <c r="J59"/>
  <c r="H60"/>
  <c r="I60"/>
  <c r="J60"/>
  <c r="H61"/>
  <c r="I61"/>
  <c r="J61"/>
  <c r="H62"/>
  <c r="I62"/>
  <c r="J62"/>
  <c r="H63"/>
  <c r="I63"/>
  <c r="J63"/>
  <c r="H64"/>
  <c r="I64"/>
  <c r="J64"/>
  <c r="H65"/>
  <c r="I65"/>
  <c r="J65"/>
  <c r="H66"/>
  <c r="I66"/>
  <c r="J66"/>
  <c r="H67"/>
  <c r="I67"/>
  <c r="J67"/>
  <c r="H68"/>
  <c r="I68"/>
  <c r="J68"/>
  <c r="H69"/>
  <c r="I69"/>
  <c r="J69"/>
  <c r="H70"/>
  <c r="I70"/>
  <c r="J70"/>
  <c r="H71"/>
  <c r="I71"/>
  <c r="J71"/>
  <c r="D37"/>
  <c r="E37"/>
  <c r="F37"/>
  <c r="D38"/>
  <c r="E38"/>
  <c r="F38"/>
  <c r="D39"/>
  <c r="E39"/>
  <c r="F39"/>
  <c r="D40"/>
  <c r="E40"/>
  <c r="F40"/>
  <c r="D41"/>
  <c r="E41"/>
  <c r="F41"/>
  <c r="D42"/>
  <c r="E42"/>
  <c r="F42"/>
  <c r="D43"/>
  <c r="E43"/>
  <c r="F43"/>
  <c r="D44"/>
  <c r="E44"/>
  <c r="F44"/>
  <c r="D45"/>
  <c r="E45"/>
  <c r="F45"/>
  <c r="D46"/>
  <c r="E46"/>
  <c r="F46"/>
  <c r="D47"/>
  <c r="E47"/>
  <c r="F47"/>
  <c r="D48"/>
  <c r="E48"/>
  <c r="F48"/>
  <c r="D49"/>
  <c r="E49"/>
  <c r="F49"/>
  <c r="D50"/>
  <c r="E50"/>
  <c r="F50"/>
  <c r="F51"/>
  <c r="D52"/>
  <c r="E52"/>
  <c r="F52"/>
  <c r="F53"/>
  <c r="E54"/>
  <c r="D55"/>
  <c r="E55"/>
  <c r="F55"/>
  <c r="D56"/>
  <c r="E56"/>
  <c r="F56"/>
  <c r="D57"/>
  <c r="E57"/>
  <c r="F57"/>
  <c r="D58"/>
  <c r="E58"/>
  <c r="F58"/>
  <c r="D59"/>
  <c r="E59"/>
  <c r="F59"/>
  <c r="D60"/>
  <c r="E60"/>
  <c r="F60"/>
  <c r="D61"/>
  <c r="E61"/>
  <c r="F61"/>
  <c r="D62"/>
  <c r="E62"/>
  <c r="F62"/>
  <c r="D63"/>
  <c r="E63"/>
  <c r="F63"/>
  <c r="D64"/>
  <c r="E64"/>
  <c r="F64"/>
  <c r="D65"/>
  <c r="E65"/>
  <c r="F65"/>
  <c r="D66"/>
  <c r="E66"/>
  <c r="F66"/>
  <c r="D67"/>
  <c r="E67"/>
  <c r="F67"/>
  <c r="D68"/>
  <c r="E68"/>
  <c r="F68"/>
  <c r="D69"/>
  <c r="E69"/>
  <c r="F69"/>
  <c r="D70"/>
  <c r="E70"/>
  <c r="F70"/>
  <c r="D71"/>
  <c r="E71"/>
  <c r="F71"/>
  <c r="E36"/>
  <c r="F36"/>
  <c r="D36"/>
  <c r="H34" l="1"/>
  <c r="L332" i="5"/>
  <c r="E332"/>
  <c r="T377" l="1"/>
  <c r="V377"/>
  <c r="D24" i="11" s="1"/>
  <c r="X377" i="5"/>
  <c r="F24" i="11" s="1"/>
  <c r="Z377" i="5"/>
  <c r="H24" i="11" s="1"/>
  <c r="AB377" i="5"/>
  <c r="J24" i="11" s="1"/>
  <c r="AD377" i="5"/>
  <c r="AF377"/>
  <c r="T378"/>
  <c r="V378"/>
  <c r="D25" i="11" s="1"/>
  <c r="X378" i="5"/>
  <c r="F25" i="11" s="1"/>
  <c r="Z378" i="5"/>
  <c r="H25" i="11" s="1"/>
  <c r="AB378" i="5"/>
  <c r="J25" i="11" s="1"/>
  <c r="AD378" i="5"/>
  <c r="AF378"/>
  <c r="T379"/>
  <c r="V379"/>
  <c r="D26" i="11" s="1"/>
  <c r="X379" i="5"/>
  <c r="F26" i="11" s="1"/>
  <c r="Z379" i="5"/>
  <c r="H26" i="11" s="1"/>
  <c r="AB379" i="5"/>
  <c r="J26" i="11" s="1"/>
  <c r="AD379" i="5"/>
  <c r="AF379"/>
  <c r="T380"/>
  <c r="V380"/>
  <c r="D27" i="11" s="1"/>
  <c r="X380" i="5"/>
  <c r="F27" i="11" s="1"/>
  <c r="Z380" i="5"/>
  <c r="H27" i="11" s="1"/>
  <c r="AB380" i="5"/>
  <c r="J27" i="11" s="1"/>
  <c r="AD380" i="5"/>
  <c r="AF380"/>
  <c r="T381"/>
  <c r="V381"/>
  <c r="D28" i="11" s="1"/>
  <c r="X381" i="5"/>
  <c r="F28" i="11" s="1"/>
  <c r="Z381" i="5"/>
  <c r="H28" i="11" s="1"/>
  <c r="AB381" i="5"/>
  <c r="J28" i="11" s="1"/>
  <c r="AD381" i="5"/>
  <c r="AF381"/>
  <c r="T382"/>
  <c r="V382"/>
  <c r="D29" i="11" s="1"/>
  <c r="X382" i="5"/>
  <c r="F29" i="11" s="1"/>
  <c r="Z382" i="5"/>
  <c r="H29" i="11" s="1"/>
  <c r="AB382" i="5"/>
  <c r="J29" i="11" s="1"/>
  <c r="AD382" i="5"/>
  <c r="AF382"/>
  <c r="T383"/>
  <c r="V383"/>
  <c r="D30" i="11" s="1"/>
  <c r="X383" i="5"/>
  <c r="F30" i="11" s="1"/>
  <c r="Z383" i="5"/>
  <c r="H30" i="11" s="1"/>
  <c r="AB383" i="5"/>
  <c r="J30" i="11" s="1"/>
  <c r="AD383" i="5"/>
  <c r="AF383"/>
  <c r="T384"/>
  <c r="V384"/>
  <c r="D31" i="11" s="1"/>
  <c r="X384" i="5"/>
  <c r="F31" i="11" s="1"/>
  <c r="Z384" i="5"/>
  <c r="H31" i="11" s="1"/>
  <c r="AB384" i="5"/>
  <c r="J31" i="11" s="1"/>
  <c r="AD384" i="5"/>
  <c r="AF384"/>
  <c r="T385"/>
  <c r="V385"/>
  <c r="D32" i="11" s="1"/>
  <c r="X385" i="5"/>
  <c r="F32" i="11" s="1"/>
  <c r="Z385" i="5"/>
  <c r="H32" i="11" s="1"/>
  <c r="AB385" i="5"/>
  <c r="J32" i="11" s="1"/>
  <c r="AD385" i="5"/>
  <c r="AF385"/>
  <c r="T386"/>
  <c r="V386"/>
  <c r="D33" i="11" s="1"/>
  <c r="X386" i="5"/>
  <c r="F33" i="11" s="1"/>
  <c r="Z386" i="5"/>
  <c r="H33" i="11" s="1"/>
  <c r="AB386" i="5"/>
  <c r="J33" i="11" s="1"/>
  <c r="AD386" i="5"/>
  <c r="AF386"/>
  <c r="T387"/>
  <c r="V387"/>
  <c r="D34" i="11" s="1"/>
  <c r="X387" i="5"/>
  <c r="F34" i="11" s="1"/>
  <c r="Z387" i="5"/>
  <c r="H34" i="11" s="1"/>
  <c r="AB387" i="5"/>
  <c r="J34" i="11" s="1"/>
  <c r="AD387" i="5"/>
  <c r="AF387"/>
  <c r="T388"/>
  <c r="V388"/>
  <c r="D35" i="11" s="1"/>
  <c r="X388" i="5"/>
  <c r="F35" i="11" s="1"/>
  <c r="Z388" i="5"/>
  <c r="H35" i="11" s="1"/>
  <c r="AB388" i="5"/>
  <c r="J35" i="11" s="1"/>
  <c r="AD388" i="5"/>
  <c r="AF388"/>
  <c r="T389"/>
  <c r="V389"/>
  <c r="D36" i="11" s="1"/>
  <c r="X389" i="5"/>
  <c r="F36" i="11" s="1"/>
  <c r="Z389" i="5"/>
  <c r="H36" i="11" s="1"/>
  <c r="AB389" i="5"/>
  <c r="J36" i="11" s="1"/>
  <c r="AD389" i="5"/>
  <c r="AF389"/>
  <c r="T390"/>
  <c r="V390"/>
  <c r="D37" i="11" s="1"/>
  <c r="X390" i="5"/>
  <c r="F37" i="11" s="1"/>
  <c r="Z390" i="5"/>
  <c r="H37" i="11" s="1"/>
  <c r="AB390" i="5"/>
  <c r="J37" i="11" s="1"/>
  <c r="AD390" i="5"/>
  <c r="AF390"/>
  <c r="T391"/>
  <c r="V391"/>
  <c r="D38" i="11" s="1"/>
  <c r="X391" i="5"/>
  <c r="F38" i="11" s="1"/>
  <c r="Z391" i="5"/>
  <c r="H38" i="11" s="1"/>
  <c r="AB391" i="5"/>
  <c r="J38" i="11" s="1"/>
  <c r="AD391" i="5"/>
  <c r="AF391"/>
  <c r="T392"/>
  <c r="V392"/>
  <c r="D39" i="11" s="1"/>
  <c r="X392" i="5"/>
  <c r="F39" i="11" s="1"/>
  <c r="Z392" i="5"/>
  <c r="H39" i="11" s="1"/>
  <c r="AB392" i="5"/>
  <c r="J39" i="11" s="1"/>
  <c r="AD392" i="5"/>
  <c r="AF392"/>
  <c r="T393"/>
  <c r="V393"/>
  <c r="D40" i="11" s="1"/>
  <c r="X393" i="5"/>
  <c r="F40" i="11" s="1"/>
  <c r="Z393" i="5"/>
  <c r="H40" i="11" s="1"/>
  <c r="AB393" i="5"/>
  <c r="J40" i="11" s="1"/>
  <c r="AD393" i="5"/>
  <c r="AF393"/>
  <c r="T394"/>
  <c r="V394"/>
  <c r="D41" i="11" s="1"/>
  <c r="X394" i="5"/>
  <c r="F41" i="11" s="1"/>
  <c r="Z394" i="5"/>
  <c r="H41" i="11" s="1"/>
  <c r="AB394" i="5"/>
  <c r="J41" i="11" s="1"/>
  <c r="AD394" i="5"/>
  <c r="AF394"/>
  <c r="T395"/>
  <c r="V395"/>
  <c r="D42" i="11" s="1"/>
  <c r="X395" i="5"/>
  <c r="F42" i="11" s="1"/>
  <c r="Z395" i="5"/>
  <c r="H42" i="11" s="1"/>
  <c r="AB395" i="5"/>
  <c r="J42" i="11" s="1"/>
  <c r="AD395" i="5"/>
  <c r="AF395"/>
  <c r="T396"/>
  <c r="V396"/>
  <c r="D43" i="11" s="1"/>
  <c r="X396" i="5"/>
  <c r="F43" i="11" s="1"/>
  <c r="Z396" i="5"/>
  <c r="H43" i="11" s="1"/>
  <c r="AB396" i="5"/>
  <c r="J43" i="11" s="1"/>
  <c r="AD396" i="5"/>
  <c r="AF396"/>
  <c r="T397"/>
  <c r="V397"/>
  <c r="D44" i="11" s="1"/>
  <c r="X397" i="5"/>
  <c r="F44" i="11" s="1"/>
  <c r="Z397" i="5"/>
  <c r="H44" i="11" s="1"/>
  <c r="AB397" i="5"/>
  <c r="J44" i="11" s="1"/>
  <c r="AD397" i="5"/>
  <c r="AF397"/>
  <c r="AE376"/>
  <c r="AC376"/>
  <c r="K23" i="11" s="1"/>
  <c r="AA376" i="5"/>
  <c r="I23" i="11" s="1"/>
  <c r="Y376" i="5"/>
  <c r="G23" i="11" s="1"/>
  <c r="W376" i="5"/>
  <c r="E23" i="11" s="1"/>
  <c r="U376" i="5"/>
  <c r="C23" i="11" s="1"/>
  <c r="S376" i="5"/>
  <c r="S377"/>
  <c r="U377"/>
  <c r="C24" i="11" s="1"/>
  <c r="W377" i="5"/>
  <c r="E24" i="11" s="1"/>
  <c r="Y377" i="5"/>
  <c r="G24" i="11" s="1"/>
  <c r="AA377" i="5"/>
  <c r="I24" i="11" s="1"/>
  <c r="AC377" i="5"/>
  <c r="K24" i="11" s="1"/>
  <c r="AE377" i="5"/>
  <c r="S378"/>
  <c r="U378"/>
  <c r="C25" i="11" s="1"/>
  <c r="W378" i="5"/>
  <c r="E25" i="11" s="1"/>
  <c r="Y378" i="5"/>
  <c r="G25" i="11" s="1"/>
  <c r="AA378" i="5"/>
  <c r="I25" i="11" s="1"/>
  <c r="AC378" i="5"/>
  <c r="K25" i="11" s="1"/>
  <c r="AE378" i="5"/>
  <c r="S379"/>
  <c r="U379"/>
  <c r="C26" i="11" s="1"/>
  <c r="W379" i="5"/>
  <c r="E26" i="11" s="1"/>
  <c r="Y379" i="5"/>
  <c r="G26" i="11" s="1"/>
  <c r="AA379" i="5"/>
  <c r="I26" i="11" s="1"/>
  <c r="AC379" i="5"/>
  <c r="K26" i="11" s="1"/>
  <c r="AE379" i="5"/>
  <c r="S380"/>
  <c r="U380"/>
  <c r="C27" i="11" s="1"/>
  <c r="W380" i="5"/>
  <c r="E27" i="11" s="1"/>
  <c r="Y380" i="5"/>
  <c r="G27" i="11" s="1"/>
  <c r="AA380" i="5"/>
  <c r="I27" i="11" s="1"/>
  <c r="AC380" i="5"/>
  <c r="K27" i="11" s="1"/>
  <c r="AE380" i="5"/>
  <c r="S381"/>
  <c r="U381"/>
  <c r="C28" i="11" s="1"/>
  <c r="W381" i="5"/>
  <c r="E28" i="11" s="1"/>
  <c r="Y381" i="5"/>
  <c r="G28" i="11" s="1"/>
  <c r="AA381" i="5"/>
  <c r="I28" i="11" s="1"/>
  <c r="AC381" i="5"/>
  <c r="K28" i="11" s="1"/>
  <c r="AE381" i="5"/>
  <c r="S382"/>
  <c r="U382"/>
  <c r="C29" i="11" s="1"/>
  <c r="W382" i="5"/>
  <c r="E29" i="11" s="1"/>
  <c r="Y382" i="5"/>
  <c r="G29" i="11" s="1"/>
  <c r="AA382" i="5"/>
  <c r="I29" i="11" s="1"/>
  <c r="AC382" i="5"/>
  <c r="K29" i="11" s="1"/>
  <c r="AE382" i="5"/>
  <c r="S383"/>
  <c r="U383"/>
  <c r="C30" i="11" s="1"/>
  <c r="W383" i="5"/>
  <c r="E30" i="11" s="1"/>
  <c r="Y383" i="5"/>
  <c r="G30" i="11" s="1"/>
  <c r="AA383" i="5"/>
  <c r="I30" i="11" s="1"/>
  <c r="AC383" i="5"/>
  <c r="K30" i="11" s="1"/>
  <c r="AE383" i="5"/>
  <c r="S384"/>
  <c r="U384"/>
  <c r="C31" i="11" s="1"/>
  <c r="W384" i="5"/>
  <c r="E31" i="11" s="1"/>
  <c r="Y384" i="5"/>
  <c r="G31" i="11" s="1"/>
  <c r="AA384" i="5"/>
  <c r="I31" i="11" s="1"/>
  <c r="AC384" i="5"/>
  <c r="K31" i="11" s="1"/>
  <c r="AE384" i="5"/>
  <c r="S385"/>
  <c r="U385"/>
  <c r="C32" i="11" s="1"/>
  <c r="W385" i="5"/>
  <c r="E32" i="11" s="1"/>
  <c r="Y385" i="5"/>
  <c r="G32" i="11" s="1"/>
  <c r="AA385" i="5"/>
  <c r="I32" i="11" s="1"/>
  <c r="AC385" i="5"/>
  <c r="K32" i="11" s="1"/>
  <c r="AE385" i="5"/>
  <c r="S386"/>
  <c r="U386"/>
  <c r="C33" i="11" s="1"/>
  <c r="W386" i="5"/>
  <c r="E33" i="11" s="1"/>
  <c r="Y386" i="5"/>
  <c r="G33" i="11" s="1"/>
  <c r="AA386" i="5"/>
  <c r="I33" i="11" s="1"/>
  <c r="AC386" i="5"/>
  <c r="K33" i="11" s="1"/>
  <c r="AE386" i="5"/>
  <c r="S387"/>
  <c r="U387"/>
  <c r="C34" i="11" s="1"/>
  <c r="W387" i="5"/>
  <c r="E34" i="11" s="1"/>
  <c r="Y387" i="5"/>
  <c r="G34" i="11" s="1"/>
  <c r="AA387" i="5"/>
  <c r="I34" i="11" s="1"/>
  <c r="AC387" i="5"/>
  <c r="K34" i="11" s="1"/>
  <c r="AE387" i="5"/>
  <c r="S388"/>
  <c r="U388"/>
  <c r="C35" i="11" s="1"/>
  <c r="W388" i="5"/>
  <c r="E35" i="11" s="1"/>
  <c r="Y388" i="5"/>
  <c r="G35" i="11" s="1"/>
  <c r="AA388" i="5"/>
  <c r="I35" i="11" s="1"/>
  <c r="AC388" i="5"/>
  <c r="K35" i="11" s="1"/>
  <c r="AE388" i="5"/>
  <c r="S389"/>
  <c r="U389"/>
  <c r="C36" i="11" s="1"/>
  <c r="W389" i="5"/>
  <c r="E36" i="11" s="1"/>
  <c r="Y389" i="5"/>
  <c r="G36" i="11" s="1"/>
  <c r="AA389" i="5"/>
  <c r="I36" i="11" s="1"/>
  <c r="AC389" i="5"/>
  <c r="K36" i="11" s="1"/>
  <c r="AE389" i="5"/>
  <c r="S390"/>
  <c r="U390"/>
  <c r="C37" i="11" s="1"/>
  <c r="W390" i="5"/>
  <c r="E37" i="11" s="1"/>
  <c r="Y390" i="5"/>
  <c r="G37" i="11" s="1"/>
  <c r="AA390" i="5"/>
  <c r="I37" i="11" s="1"/>
  <c r="AC390" i="5"/>
  <c r="K37" i="11" s="1"/>
  <c r="AE390" i="5"/>
  <c r="S391"/>
  <c r="U391"/>
  <c r="C38" i="11" s="1"/>
  <c r="W391" i="5"/>
  <c r="E38" i="11" s="1"/>
  <c r="Y391" i="5"/>
  <c r="G38" i="11" s="1"/>
  <c r="AA391" i="5"/>
  <c r="I38" i="11" s="1"/>
  <c r="AC391" i="5"/>
  <c r="K38" i="11" s="1"/>
  <c r="AE391" i="5"/>
  <c r="S392"/>
  <c r="U392"/>
  <c r="C39" i="11" s="1"/>
  <c r="W392" i="5"/>
  <c r="E39" i="11" s="1"/>
  <c r="Y392" i="5"/>
  <c r="G39" i="11" s="1"/>
  <c r="AA392" i="5"/>
  <c r="I39" i="11" s="1"/>
  <c r="AC392" i="5"/>
  <c r="K39" i="11" s="1"/>
  <c r="AE392" i="5"/>
  <c r="S393"/>
  <c r="U393"/>
  <c r="C40" i="11" s="1"/>
  <c r="W393" i="5"/>
  <c r="E40" i="11" s="1"/>
  <c r="Y393" i="5"/>
  <c r="G40" i="11" s="1"/>
  <c r="AA393" i="5"/>
  <c r="I40" i="11" s="1"/>
  <c r="AC393" i="5"/>
  <c r="K40" i="11" s="1"/>
  <c r="AE393" i="5"/>
  <c r="S394"/>
  <c r="U394"/>
  <c r="C41" i="11" s="1"/>
  <c r="W394" i="5"/>
  <c r="E41" i="11" s="1"/>
  <c r="Y394" i="5"/>
  <c r="G41" i="11" s="1"/>
  <c r="AA394" i="5"/>
  <c r="I41" i="11" s="1"/>
  <c r="AC394" i="5"/>
  <c r="K41" i="11" s="1"/>
  <c r="AE394" i="5"/>
  <c r="S395"/>
  <c r="U395"/>
  <c r="C42" i="11" s="1"/>
  <c r="W395" i="5"/>
  <c r="E42" i="11" s="1"/>
  <c r="Y395" i="5"/>
  <c r="G42" i="11" s="1"/>
  <c r="AA395" i="5"/>
  <c r="I42" i="11" s="1"/>
  <c r="AC395" i="5"/>
  <c r="K42" i="11" s="1"/>
  <c r="AE395" i="5"/>
  <c r="S396"/>
  <c r="U396"/>
  <c r="C43" i="11" s="1"/>
  <c r="W396" i="5"/>
  <c r="E43" i="11" s="1"/>
  <c r="Y396" i="5"/>
  <c r="G43" i="11" s="1"/>
  <c r="AA396" i="5"/>
  <c r="I43" i="11" s="1"/>
  <c r="AC396" i="5"/>
  <c r="K43" i="11" s="1"/>
  <c r="AE396" i="5"/>
  <c r="S397"/>
  <c r="U397"/>
  <c r="C44" i="11" s="1"/>
  <c r="W397" i="5"/>
  <c r="E44" i="11" s="1"/>
  <c r="Y397" i="5"/>
  <c r="G44" i="11" s="1"/>
  <c r="AA397" i="5"/>
  <c r="I44" i="11" s="1"/>
  <c r="AC397" i="5"/>
  <c r="K44" i="11" s="1"/>
  <c r="AE397" i="5"/>
  <c r="AF376"/>
  <c r="AD376"/>
  <c r="AB376"/>
  <c r="J23" i="11" s="1"/>
  <c r="Z376" i="5"/>
  <c r="H23" i="11" s="1"/>
  <c r="X376" i="5"/>
  <c r="F23" i="11" s="1"/>
  <c r="V376" i="5"/>
  <c r="D23" i="11" s="1"/>
  <c r="T376" i="5"/>
  <c r="C308"/>
  <c r="C296"/>
  <c r="B44" i="11" l="1"/>
  <c r="C71"/>
  <c r="B42"/>
  <c r="C69"/>
  <c r="B40"/>
  <c r="C67"/>
  <c r="B38"/>
  <c r="C65"/>
  <c r="B36"/>
  <c r="C63"/>
  <c r="B34"/>
  <c r="C61"/>
  <c r="B32"/>
  <c r="C59"/>
  <c r="B30"/>
  <c r="C57"/>
  <c r="B28"/>
  <c r="C55"/>
  <c r="B26"/>
  <c r="C53"/>
  <c r="B24"/>
  <c r="C51"/>
  <c r="B43"/>
  <c r="C70"/>
  <c r="B41"/>
  <c r="C68"/>
  <c r="B39"/>
  <c r="C66"/>
  <c r="B37"/>
  <c r="C64"/>
  <c r="B35"/>
  <c r="C62"/>
  <c r="B33"/>
  <c r="C60"/>
  <c r="B31"/>
  <c r="C58"/>
  <c r="B29"/>
  <c r="C56"/>
  <c r="B27"/>
  <c r="C54"/>
  <c r="B25"/>
  <c r="C52"/>
  <c r="B23"/>
  <c r="C50"/>
  <c r="F68" i="16"/>
  <c r="G68"/>
  <c r="H68"/>
  <c r="I68"/>
  <c r="J68"/>
  <c r="K68"/>
  <c r="L68"/>
  <c r="M68"/>
  <c r="N68"/>
  <c r="F69"/>
  <c r="G69"/>
  <c r="H69"/>
  <c r="I69"/>
  <c r="J69"/>
  <c r="K69"/>
  <c r="L69"/>
  <c r="M69"/>
  <c r="N69"/>
  <c r="F70"/>
  <c r="G70"/>
  <c r="H70"/>
  <c r="I70"/>
  <c r="J70"/>
  <c r="K70"/>
  <c r="L70"/>
  <c r="M70"/>
  <c r="N70"/>
  <c r="F71"/>
  <c r="G71"/>
  <c r="H71"/>
  <c r="I71"/>
  <c r="J71"/>
  <c r="K71"/>
  <c r="L71"/>
  <c r="M71"/>
  <c r="N71"/>
  <c r="F72"/>
  <c r="G72"/>
  <c r="H72"/>
  <c r="I72"/>
  <c r="J72"/>
  <c r="K72"/>
  <c r="L72"/>
  <c r="M72"/>
  <c r="N72"/>
  <c r="F73"/>
  <c r="G73"/>
  <c r="H73"/>
  <c r="I73"/>
  <c r="J73"/>
  <c r="K73"/>
  <c r="L73"/>
  <c r="M73"/>
  <c r="N73"/>
  <c r="E73"/>
  <c r="E72"/>
  <c r="E71"/>
  <c r="E70"/>
  <c r="E69"/>
  <c r="E68"/>
  <c r="C58"/>
  <c r="D58"/>
  <c r="E58"/>
  <c r="F58"/>
  <c r="C59"/>
  <c r="D59"/>
  <c r="E59"/>
  <c r="F59"/>
  <c r="F57"/>
  <c r="E57"/>
  <c r="D57"/>
  <c r="C57"/>
  <c r="C51"/>
  <c r="D51"/>
  <c r="E51"/>
  <c r="F51"/>
  <c r="C52"/>
  <c r="D52"/>
  <c r="E52"/>
  <c r="F52"/>
  <c r="F50"/>
  <c r="E50"/>
  <c r="D50"/>
  <c r="C50"/>
  <c r="A292" i="5"/>
  <c r="A286"/>
  <c r="A280"/>
  <c r="A274"/>
  <c r="A268"/>
  <c r="A262"/>
  <c r="A256"/>
  <c r="A250"/>
  <c r="A244"/>
  <c r="A238"/>
  <c r="K23" i="16"/>
  <c r="L23"/>
  <c r="M23"/>
  <c r="N23"/>
  <c r="K24"/>
  <c r="L24"/>
  <c r="M24"/>
  <c r="N24"/>
  <c r="N22"/>
  <c r="M22"/>
  <c r="L22"/>
  <c r="K22"/>
  <c r="D23"/>
  <c r="E23"/>
  <c r="F23"/>
  <c r="D24"/>
  <c r="E24"/>
  <c r="F24"/>
  <c r="F22"/>
  <c r="E22"/>
  <c r="D22"/>
  <c r="C23"/>
  <c r="C24"/>
  <c r="C22"/>
  <c r="G2" i="18"/>
  <c r="B2"/>
  <c r="L43" i="9" l="1"/>
  <c r="L46"/>
  <c r="M46"/>
  <c r="N46"/>
  <c r="L47"/>
  <c r="M47"/>
  <c r="N47"/>
  <c r="L48"/>
  <c r="M48"/>
  <c r="N48"/>
  <c r="M45"/>
  <c r="N45"/>
  <c r="L45"/>
  <c r="L44"/>
  <c r="N44"/>
  <c r="M44"/>
  <c r="I43"/>
  <c r="P229" i="5"/>
  <c r="P230"/>
  <c r="P231"/>
  <c r="P228"/>
  <c r="AD226"/>
  <c r="AA226"/>
  <c r="X226"/>
  <c r="M226"/>
  <c r="J226"/>
  <c r="G226"/>
  <c r="F43" i="9"/>
  <c r="B16"/>
  <c r="H16"/>
  <c r="A231" i="5" l="1"/>
  <c r="A229"/>
  <c r="A228"/>
  <c r="A230"/>
  <c r="A217"/>
  <c r="A211"/>
  <c r="X230" l="1"/>
  <c r="F47" i="9" s="1"/>
  <c r="AE230" i="5"/>
  <c r="AB230"/>
  <c r="J47" i="9" s="1"/>
  <c r="AA230" i="5"/>
  <c r="I47" i="9" s="1"/>
  <c r="Y230" i="5"/>
  <c r="G47" i="9" s="1"/>
  <c r="T230" i="5"/>
  <c r="AC230"/>
  <c r="K47" i="9" s="1"/>
  <c r="T229" i="5"/>
  <c r="S230"/>
  <c r="C56" i="9" s="1"/>
  <c r="Z230" i="5"/>
  <c r="H47" i="9" s="1"/>
  <c r="V230" i="5"/>
  <c r="D47" i="9" s="1"/>
  <c r="X231" i="5"/>
  <c r="F48" i="9" s="1"/>
  <c r="AB228" i="5"/>
  <c r="J45" i="9" s="1"/>
  <c r="U231" i="5"/>
  <c r="C48" i="9" s="1"/>
  <c r="AF228" i="5"/>
  <c r="AC229"/>
  <c r="K46" i="9" s="1"/>
  <c r="W228" i="5"/>
  <c r="E45" i="9" s="1"/>
  <c r="Z231" i="5"/>
  <c r="H48" i="9" s="1"/>
  <c r="T228" i="5"/>
  <c r="AC231"/>
  <c r="K48" i="9" s="1"/>
  <c r="Y229" i="5"/>
  <c r="G46" i="9" s="1"/>
  <c r="AA228" i="5"/>
  <c r="I45" i="9" s="1"/>
  <c r="V231" i="5"/>
  <c r="D48" i="9" s="1"/>
  <c r="V228" i="5"/>
  <c r="D45" i="9" s="1"/>
  <c r="AA231" i="5"/>
  <c r="I48" i="9" s="1"/>
  <c r="W229" i="5"/>
  <c r="E46" i="9" s="1"/>
  <c r="AC228" i="5"/>
  <c r="K45" i="9" s="1"/>
  <c r="T231" i="5"/>
  <c r="AF229"/>
  <c r="X228"/>
  <c r="F45" i="9" s="1"/>
  <c r="Y231" i="5"/>
  <c r="G48" i="9" s="1"/>
  <c r="W230" i="5"/>
  <c r="E47" i="9" s="1"/>
  <c r="U229" i="5"/>
  <c r="C46" i="9" s="1"/>
  <c r="AE228" i="5"/>
  <c r="AF230"/>
  <c r="AD229"/>
  <c r="Z228"/>
  <c r="H45" i="9" s="1"/>
  <c r="W231" i="5"/>
  <c r="E48" i="9" s="1"/>
  <c r="U230" i="5"/>
  <c r="C47" i="9" s="1"/>
  <c r="S229" i="5"/>
  <c r="B46" i="9" s="1"/>
  <c r="AF231" i="5"/>
  <c r="AD230"/>
  <c r="S228"/>
  <c r="C54" i="9" s="1"/>
  <c r="AD231" i="5"/>
  <c r="AD228"/>
  <c r="S231"/>
  <c r="B48" i="9" s="1"/>
  <c r="AE229" i="5"/>
  <c r="U228"/>
  <c r="C45" i="9" s="1"/>
  <c r="AB231" i="5"/>
  <c r="J48" i="9" s="1"/>
  <c r="V229" i="5"/>
  <c r="D46" i="9" s="1"/>
  <c r="AE231" i="5"/>
  <c r="AA229"/>
  <c r="I46" i="9" s="1"/>
  <c r="Y228" i="5"/>
  <c r="G45" i="9" s="1"/>
  <c r="Z229" i="5"/>
  <c r="H46" i="9" s="1"/>
  <c r="AB229" i="5"/>
  <c r="J46" i="9" s="1"/>
  <c r="X229" i="5"/>
  <c r="F46" i="9" s="1"/>
  <c r="B47"/>
  <c r="C193" i="8"/>
  <c r="D193"/>
  <c r="E193"/>
  <c r="C194"/>
  <c r="D194"/>
  <c r="E194"/>
  <c r="C195"/>
  <c r="D195"/>
  <c r="E195"/>
  <c r="C196"/>
  <c r="D196"/>
  <c r="E196"/>
  <c r="C197"/>
  <c r="D197"/>
  <c r="E197"/>
  <c r="C198"/>
  <c r="D198"/>
  <c r="E198"/>
  <c r="C199"/>
  <c r="D199"/>
  <c r="E199"/>
  <c r="C200"/>
  <c r="D200"/>
  <c r="E200"/>
  <c r="C201"/>
  <c r="D201"/>
  <c r="E201"/>
  <c r="C202"/>
  <c r="D202"/>
  <c r="E202"/>
  <c r="C203"/>
  <c r="D203"/>
  <c r="E203"/>
  <c r="C204"/>
  <c r="D204"/>
  <c r="E204"/>
  <c r="C205"/>
  <c r="D205"/>
  <c r="E205"/>
  <c r="C206"/>
  <c r="D206"/>
  <c r="E206"/>
  <c r="C207"/>
  <c r="D207"/>
  <c r="E207"/>
  <c r="D192"/>
  <c r="E192"/>
  <c r="C192"/>
  <c r="C191"/>
  <c r="D191"/>
  <c r="E191"/>
  <c r="D190"/>
  <c r="E190"/>
  <c r="C190"/>
  <c r="J161"/>
  <c r="B193"/>
  <c r="B194"/>
  <c r="B195"/>
  <c r="B196"/>
  <c r="B197"/>
  <c r="B198"/>
  <c r="B199"/>
  <c r="B200"/>
  <c r="B201"/>
  <c r="B202"/>
  <c r="B203"/>
  <c r="B204"/>
  <c r="B205"/>
  <c r="B206"/>
  <c r="B207"/>
  <c r="B191"/>
  <c r="C164"/>
  <c r="D164"/>
  <c r="E164"/>
  <c r="F164"/>
  <c r="G164"/>
  <c r="H164"/>
  <c r="I164"/>
  <c r="J164"/>
  <c r="C165"/>
  <c r="D165"/>
  <c r="E165"/>
  <c r="F165"/>
  <c r="G165"/>
  <c r="H165"/>
  <c r="I165"/>
  <c r="J165"/>
  <c r="C166"/>
  <c r="D166"/>
  <c r="E166"/>
  <c r="F166"/>
  <c r="G166"/>
  <c r="H166"/>
  <c r="I166"/>
  <c r="J166"/>
  <c r="C167"/>
  <c r="D167"/>
  <c r="E167"/>
  <c r="F167"/>
  <c r="G167"/>
  <c r="H167"/>
  <c r="I167"/>
  <c r="J167"/>
  <c r="C168"/>
  <c r="D168"/>
  <c r="E168"/>
  <c r="F168"/>
  <c r="G168"/>
  <c r="H168"/>
  <c r="I168"/>
  <c r="J168"/>
  <c r="C169"/>
  <c r="D169"/>
  <c r="E169"/>
  <c r="F169"/>
  <c r="G169"/>
  <c r="H169"/>
  <c r="I169"/>
  <c r="J169"/>
  <c r="C170"/>
  <c r="D170"/>
  <c r="E170"/>
  <c r="F170"/>
  <c r="G170"/>
  <c r="H170"/>
  <c r="I170"/>
  <c r="J170"/>
  <c r="C171"/>
  <c r="D171"/>
  <c r="E171"/>
  <c r="F171"/>
  <c r="G171"/>
  <c r="H171"/>
  <c r="I171"/>
  <c r="J171"/>
  <c r="C172"/>
  <c r="D172"/>
  <c r="E172"/>
  <c r="F172"/>
  <c r="G172"/>
  <c r="H172"/>
  <c r="I172"/>
  <c r="J172"/>
  <c r="C173"/>
  <c r="D173"/>
  <c r="E173"/>
  <c r="F173"/>
  <c r="G173"/>
  <c r="H173"/>
  <c r="I173"/>
  <c r="J173"/>
  <c r="C174"/>
  <c r="D174"/>
  <c r="E174"/>
  <c r="F174"/>
  <c r="G174"/>
  <c r="H174"/>
  <c r="I174"/>
  <c r="J174"/>
  <c r="C175"/>
  <c r="D175"/>
  <c r="E175"/>
  <c r="F175"/>
  <c r="G175"/>
  <c r="H175"/>
  <c r="I175"/>
  <c r="J175"/>
  <c r="C176"/>
  <c r="D176"/>
  <c r="E176"/>
  <c r="F176"/>
  <c r="G176"/>
  <c r="H176"/>
  <c r="I176"/>
  <c r="J176"/>
  <c r="C177"/>
  <c r="D177"/>
  <c r="E177"/>
  <c r="F177"/>
  <c r="G177"/>
  <c r="H177"/>
  <c r="I177"/>
  <c r="J177"/>
  <c r="C178"/>
  <c r="D178"/>
  <c r="E178"/>
  <c r="F178"/>
  <c r="G178"/>
  <c r="H178"/>
  <c r="I178"/>
  <c r="J178"/>
  <c r="D163"/>
  <c r="E163"/>
  <c r="F163"/>
  <c r="G163"/>
  <c r="H163"/>
  <c r="I163"/>
  <c r="J163"/>
  <c r="C162"/>
  <c r="D162"/>
  <c r="E162"/>
  <c r="F162"/>
  <c r="G162"/>
  <c r="H162"/>
  <c r="I162"/>
  <c r="J162"/>
  <c r="G2" i="5"/>
  <c r="D161" i="8"/>
  <c r="E161"/>
  <c r="F161"/>
  <c r="G161"/>
  <c r="H161"/>
  <c r="I161"/>
  <c r="C161"/>
  <c r="B164"/>
  <c r="B165"/>
  <c r="B166"/>
  <c r="B167"/>
  <c r="B168"/>
  <c r="B169"/>
  <c r="B170"/>
  <c r="B171"/>
  <c r="B172"/>
  <c r="B173"/>
  <c r="B174"/>
  <c r="B175"/>
  <c r="B176"/>
  <c r="B177"/>
  <c r="B178"/>
  <c r="B137"/>
  <c r="B138"/>
  <c r="B139"/>
  <c r="B140"/>
  <c r="B141"/>
  <c r="B142"/>
  <c r="B143"/>
  <c r="B144"/>
  <c r="B145"/>
  <c r="B146"/>
  <c r="B147"/>
  <c r="B148"/>
  <c r="B149"/>
  <c r="B150"/>
  <c r="B136"/>
  <c r="B134"/>
  <c r="A188" i="5"/>
  <c r="B192" i="8" s="1"/>
  <c r="A187" i="5"/>
  <c r="G178"/>
  <c r="G179"/>
  <c r="G180"/>
  <c r="G181"/>
  <c r="G182"/>
  <c r="G177"/>
  <c r="A181"/>
  <c r="A179"/>
  <c r="E122" i="8"/>
  <c r="E121"/>
  <c r="E120"/>
  <c r="E118"/>
  <c r="E117"/>
  <c r="E116"/>
  <c r="E114"/>
  <c r="E113"/>
  <c r="E112"/>
  <c r="D122"/>
  <c r="D121"/>
  <c r="D120"/>
  <c r="D118"/>
  <c r="D117"/>
  <c r="D116"/>
  <c r="D114"/>
  <c r="D113"/>
  <c r="D112"/>
  <c r="A172" i="5"/>
  <c r="A166"/>
  <c r="A160"/>
  <c r="B121" i="8"/>
  <c r="B117"/>
  <c r="B113"/>
  <c r="B83"/>
  <c r="A154" i="5"/>
  <c r="A148"/>
  <c r="A142"/>
  <c r="A134"/>
  <c r="B62" i="8"/>
  <c r="B162" l="1"/>
  <c r="B179"/>
  <c r="B45" i="9"/>
  <c r="C57"/>
  <c r="C55"/>
  <c r="B163" i="8"/>
  <c r="B135"/>
  <c r="D65"/>
  <c r="E65"/>
  <c r="D66"/>
  <c r="E66"/>
  <c r="D67"/>
  <c r="E67"/>
  <c r="C67"/>
  <c r="C66"/>
  <c r="C65"/>
  <c r="D63"/>
  <c r="E63"/>
  <c r="C63"/>
  <c r="D62"/>
  <c r="E62"/>
  <c r="C62"/>
  <c r="D61"/>
  <c r="E61"/>
  <c r="C61"/>
  <c r="B66"/>
  <c r="B67"/>
  <c r="B63"/>
  <c r="D31"/>
  <c r="D32"/>
  <c r="D30"/>
  <c r="C31"/>
  <c r="C32"/>
  <c r="C30"/>
  <c r="D27"/>
  <c r="D28"/>
  <c r="D26"/>
  <c r="C27"/>
  <c r="C28"/>
  <c r="C26"/>
  <c r="D21"/>
  <c r="D22"/>
  <c r="D23"/>
  <c r="D24"/>
  <c r="D20"/>
  <c r="C21"/>
  <c r="C22"/>
  <c r="C23"/>
  <c r="C24"/>
  <c r="C20"/>
  <c r="B32"/>
  <c r="B28"/>
  <c r="B22"/>
  <c r="B31"/>
  <c r="B27"/>
  <c r="B21"/>
  <c r="F133" i="5"/>
  <c r="F134"/>
  <c r="F135"/>
  <c r="F136"/>
  <c r="F137"/>
  <c r="F132"/>
  <c r="A136"/>
  <c r="A127"/>
  <c r="D128" l="1"/>
  <c r="K440" s="1"/>
  <c r="K456" s="1"/>
  <c r="C128"/>
  <c r="J440" s="1"/>
  <c r="J456" s="1"/>
  <c r="B127"/>
  <c r="B128"/>
  <c r="A114"/>
  <c r="A113"/>
  <c r="A120"/>
  <c r="A119"/>
  <c r="A105" l="1"/>
  <c r="A106"/>
  <c r="A93" l="1"/>
  <c r="A86"/>
  <c r="A82"/>
  <c r="F136" i="4"/>
  <c r="I136"/>
  <c r="A456" i="5" l="1"/>
  <c r="G455"/>
  <c r="F455"/>
  <c r="E455"/>
  <c r="D455"/>
  <c r="C455"/>
  <c r="G454"/>
  <c r="G460" s="1"/>
  <c r="F454"/>
  <c r="F460" s="1"/>
  <c r="E454"/>
  <c r="E460" s="1"/>
  <c r="D454"/>
  <c r="D460" s="1"/>
  <c r="C454"/>
  <c r="C460" s="1"/>
  <c r="G453"/>
  <c r="F453"/>
  <c r="E453"/>
  <c r="D453"/>
  <c r="C453"/>
  <c r="G452"/>
  <c r="F452"/>
  <c r="E452"/>
  <c r="D452"/>
  <c r="C452"/>
  <c r="G451"/>
  <c r="F451"/>
  <c r="E451"/>
  <c r="D451"/>
  <c r="C451"/>
  <c r="G448"/>
  <c r="F448"/>
  <c r="E448"/>
  <c r="D448"/>
  <c r="C448"/>
  <c r="G447"/>
  <c r="F447"/>
  <c r="E447"/>
  <c r="D447"/>
  <c r="C447"/>
  <c r="G446"/>
  <c r="F446"/>
  <c r="E446"/>
  <c r="D446"/>
  <c r="C446"/>
  <c r="G445"/>
  <c r="F445"/>
  <c r="E445"/>
  <c r="D445"/>
  <c r="C445"/>
  <c r="G444"/>
  <c r="F444"/>
  <c r="E444"/>
  <c r="D444"/>
  <c r="C444"/>
  <c r="G463" l="1"/>
  <c r="F463" s="1"/>
  <c r="E463" s="1"/>
  <c r="D463" s="1"/>
  <c r="C463" s="1"/>
  <c r="G462"/>
  <c r="F462" s="1"/>
  <c r="E462" s="1"/>
  <c r="D462" s="1"/>
  <c r="C462" s="1"/>
  <c r="G461" s="1"/>
  <c r="F461" s="1"/>
  <c r="E461" s="1"/>
  <c r="D461" s="1"/>
  <c r="C461" s="1"/>
  <c r="G458"/>
  <c r="F458" s="1"/>
  <c r="E458" s="1"/>
  <c r="D458" s="1"/>
  <c r="C458" s="1"/>
  <c r="A440"/>
  <c r="A406"/>
  <c r="O332"/>
  <c r="H332"/>
  <c r="D308"/>
  <c r="D296"/>
  <c r="A293"/>
  <c r="A287"/>
  <c r="A281"/>
  <c r="A275"/>
  <c r="A269"/>
  <c r="A263"/>
  <c r="A257"/>
  <c r="A251"/>
  <c r="A245"/>
  <c r="A239"/>
  <c r="A233"/>
  <c r="A218"/>
  <c r="A212"/>
  <c r="A206"/>
  <c r="G456" l="1"/>
  <c r="F456" s="1"/>
  <c r="E456" s="1"/>
  <c r="D456" s="1"/>
  <c r="C456" s="1"/>
  <c r="G457"/>
  <c r="F457" s="1"/>
  <c r="E457" s="1"/>
  <c r="D457" s="1"/>
  <c r="C457" s="1"/>
  <c r="A173" l="1"/>
  <c r="A167"/>
  <c r="A161"/>
  <c r="A155"/>
  <c r="A149"/>
  <c r="A143"/>
  <c r="A128"/>
  <c r="A100"/>
  <c r="P97"/>
  <c r="O97"/>
  <c r="N97"/>
  <c r="M97"/>
  <c r="L97"/>
  <c r="K97"/>
  <c r="J97"/>
  <c r="I97"/>
  <c r="H97"/>
  <c r="G97"/>
  <c r="F97"/>
  <c r="E97"/>
  <c r="D97"/>
  <c r="C97"/>
  <c r="B97"/>
  <c r="A96"/>
  <c r="A95"/>
  <c r="R94" l="1"/>
  <c r="A94"/>
  <c r="T93"/>
  <c r="S93"/>
  <c r="R93"/>
  <c r="T92"/>
  <c r="S92"/>
  <c r="R92"/>
  <c r="P90"/>
  <c r="O90"/>
  <c r="N90"/>
  <c r="M90"/>
  <c r="L90"/>
  <c r="K90"/>
  <c r="J90"/>
  <c r="I90"/>
  <c r="H90"/>
  <c r="G90"/>
  <c r="F90"/>
  <c r="E90"/>
  <c r="D90"/>
  <c r="C90"/>
  <c r="B90"/>
  <c r="A89"/>
  <c r="A88"/>
  <c r="R87"/>
  <c r="A87"/>
  <c r="T86"/>
  <c r="S86"/>
  <c r="R86"/>
  <c r="T85"/>
  <c r="S85"/>
  <c r="R85"/>
  <c r="R83"/>
  <c r="A83"/>
  <c r="T82"/>
  <c r="S82"/>
  <c r="R82"/>
  <c r="T81"/>
  <c r="S81"/>
  <c r="R81"/>
  <c r="A77"/>
  <c r="A76"/>
  <c r="A71"/>
  <c r="A70"/>
  <c r="A65"/>
  <c r="A64"/>
  <c r="A59"/>
  <c r="A58"/>
  <c r="A53"/>
  <c r="A52"/>
  <c r="A47"/>
  <c r="A46"/>
  <c r="G41"/>
  <c r="M41" s="1"/>
  <c r="F41"/>
  <c r="L41" s="1"/>
  <c r="E41"/>
  <c r="K41" s="1"/>
  <c r="D41"/>
  <c r="J41" s="1"/>
  <c r="C41"/>
  <c r="I41" s="1"/>
  <c r="B41"/>
  <c r="M40"/>
  <c r="L40"/>
  <c r="K40"/>
  <c r="J40"/>
  <c r="I40"/>
  <c r="H40"/>
  <c r="M39"/>
  <c r="L39"/>
  <c r="K39"/>
  <c r="J39"/>
  <c r="I39"/>
  <c r="H39"/>
  <c r="M38"/>
  <c r="L38"/>
  <c r="K38"/>
  <c r="J38"/>
  <c r="I38"/>
  <c r="H38"/>
  <c r="M37"/>
  <c r="L37"/>
  <c r="K37"/>
  <c r="J37"/>
  <c r="I37"/>
  <c r="H37"/>
  <c r="M36"/>
  <c r="L36"/>
  <c r="K36"/>
  <c r="J36"/>
  <c r="I36"/>
  <c r="H36"/>
  <c r="M35"/>
  <c r="L35"/>
  <c r="K35"/>
  <c r="J35"/>
  <c r="I35"/>
  <c r="H35"/>
  <c r="M34"/>
  <c r="L34"/>
  <c r="K34"/>
  <c r="J34"/>
  <c r="I34"/>
  <c r="H34"/>
  <c r="M33"/>
  <c r="L33"/>
  <c r="K33"/>
  <c r="J33"/>
  <c r="I33"/>
  <c r="H33"/>
  <c r="M32"/>
  <c r="L32"/>
  <c r="K32"/>
  <c r="J32"/>
  <c r="I32"/>
  <c r="H32"/>
  <c r="M31"/>
  <c r="L31"/>
  <c r="K31"/>
  <c r="J31"/>
  <c r="I31"/>
  <c r="H31"/>
  <c r="M30"/>
  <c r="L30"/>
  <c r="K30"/>
  <c r="J30"/>
  <c r="I30"/>
  <c r="H30"/>
  <c r="M29"/>
  <c r="L29"/>
  <c r="K29"/>
  <c r="J29"/>
  <c r="I29"/>
  <c r="H29"/>
  <c r="M28"/>
  <c r="L28"/>
  <c r="K28"/>
  <c r="J28"/>
  <c r="I28"/>
  <c r="H28"/>
  <c r="M27"/>
  <c r="L27"/>
  <c r="K27"/>
  <c r="J27"/>
  <c r="I27"/>
  <c r="H27"/>
  <c r="M26"/>
  <c r="L26"/>
  <c r="K26"/>
  <c r="J26"/>
  <c r="I26"/>
  <c r="H26"/>
  <c r="M25"/>
  <c r="L25"/>
  <c r="K25"/>
  <c r="J25"/>
  <c r="I25"/>
  <c r="H25"/>
  <c r="M24"/>
  <c r="L24"/>
  <c r="K24"/>
  <c r="J24"/>
  <c r="I24"/>
  <c r="H24"/>
  <c r="M23"/>
  <c r="L23"/>
  <c r="K23"/>
  <c r="J23"/>
  <c r="I23"/>
  <c r="H23"/>
  <c r="K22"/>
  <c r="J22"/>
  <c r="I22"/>
  <c r="H22"/>
  <c r="L20"/>
  <c r="P20" s="1"/>
  <c r="H20"/>
  <c r="F20"/>
  <c r="B20"/>
  <c r="A17"/>
  <c r="A16"/>
  <c r="A116" s="1"/>
  <c r="A11"/>
  <c r="B32" i="17" s="1"/>
  <c r="A10" i="5"/>
  <c r="B31" i="17" s="1"/>
  <c r="A5" i="5"/>
  <c r="C4"/>
  <c r="G4" s="1"/>
  <c r="F4" l="1"/>
  <c r="D4"/>
  <c r="N20"/>
  <c r="Q22"/>
  <c r="P22" s="1"/>
  <c r="E4"/>
  <c r="H3" s="1"/>
  <c r="Q23"/>
  <c r="P23" s="1"/>
  <c r="O23" s="1"/>
  <c r="N23" s="1"/>
  <c r="Q24"/>
  <c r="P24" s="1"/>
  <c r="O24" s="1"/>
  <c r="N24" s="1"/>
  <c r="Q25"/>
  <c r="P25" s="1"/>
  <c r="O25" s="1"/>
  <c r="N25" s="1"/>
  <c r="Q26"/>
  <c r="P26" s="1"/>
  <c r="O26" s="1"/>
  <c r="N26" s="1"/>
  <c r="Q27"/>
  <c r="P27" s="1"/>
  <c r="O27" s="1"/>
  <c r="N27" s="1"/>
  <c r="Q28"/>
  <c r="P28" s="1"/>
  <c r="O28" s="1"/>
  <c r="N28" s="1"/>
  <c r="Q29"/>
  <c r="P29" s="1"/>
  <c r="O29" s="1"/>
  <c r="N29" s="1"/>
  <c r="Q30"/>
  <c r="P30" s="1"/>
  <c r="O30" s="1"/>
  <c r="N30" s="1"/>
  <c r="Q31"/>
  <c r="P31" s="1"/>
  <c r="O31" s="1"/>
  <c r="N31" s="1"/>
  <c r="Q32"/>
  <c r="P32" s="1"/>
  <c r="O32" s="1"/>
  <c r="N32" s="1"/>
  <c r="Q33"/>
  <c r="P33" s="1"/>
  <c r="O33" s="1"/>
  <c r="N33" s="1"/>
  <c r="Q34"/>
  <c r="P34" s="1"/>
  <c r="O34" s="1"/>
  <c r="N34" s="1"/>
  <c r="Q35"/>
  <c r="P35" s="1"/>
  <c r="O35" s="1"/>
  <c r="N35" s="1"/>
  <c r="Q36"/>
  <c r="P36" s="1"/>
  <c r="O36" s="1"/>
  <c r="N36" s="1"/>
  <c r="Q37"/>
  <c r="P37" s="1"/>
  <c r="O37" s="1"/>
  <c r="N37" s="1"/>
  <c r="Q38"/>
  <c r="P38" s="1"/>
  <c r="O38" s="1"/>
  <c r="N38" s="1"/>
  <c r="Q39"/>
  <c r="P39" s="1"/>
  <c r="O39" s="1"/>
  <c r="N39" s="1"/>
  <c r="Q40"/>
  <c r="P40" s="1"/>
  <c r="O40" s="1"/>
  <c r="N40" s="1"/>
  <c r="H41"/>
  <c r="Q41"/>
  <c r="P41" s="1"/>
  <c r="O41" s="1"/>
  <c r="N41" s="1"/>
  <c r="D3"/>
  <c r="F3" s="1"/>
  <c r="C3"/>
  <c r="E2"/>
  <c r="C2"/>
  <c r="B1"/>
  <c r="D15" i="15" s="1"/>
  <c r="B4"/>
  <c r="C2"/>
  <c r="L79" i="14"/>
  <c r="J79"/>
  <c r="F2" i="5" l="1"/>
  <c r="I2"/>
  <c r="B39" i="4"/>
  <c r="H39"/>
  <c r="A102" i="5"/>
  <c r="C6"/>
  <c r="D6"/>
  <c r="N22"/>
  <c r="O22"/>
  <c r="E3"/>
  <c r="L78" i="14"/>
  <c r="J78"/>
  <c r="L77"/>
  <c r="J77"/>
  <c r="L75"/>
  <c r="J75"/>
  <c r="I75"/>
  <c r="H75"/>
  <c r="G75"/>
  <c r="L74"/>
  <c r="J74"/>
  <c r="I74"/>
  <c r="H74"/>
  <c r="G74"/>
  <c r="L73"/>
  <c r="J73"/>
  <c r="I73"/>
  <c r="H73"/>
  <c r="G73"/>
  <c r="L72"/>
  <c r="J72"/>
  <c r="I72"/>
  <c r="H72"/>
  <c r="G72"/>
  <c r="L71"/>
  <c r="J71"/>
  <c r="I71"/>
  <c r="H71"/>
  <c r="G71"/>
  <c r="L69"/>
  <c r="J69"/>
  <c r="H69"/>
  <c r="G69"/>
  <c r="L68"/>
  <c r="J68"/>
  <c r="H68"/>
  <c r="G68"/>
  <c r="L67"/>
  <c r="J67"/>
  <c r="H67"/>
  <c r="G67"/>
  <c r="L66"/>
  <c r="J66"/>
  <c r="H66"/>
  <c r="G66"/>
  <c r="L65"/>
  <c r="J65"/>
  <c r="H65"/>
  <c r="G65"/>
  <c r="L64"/>
  <c r="J64"/>
  <c r="H64"/>
  <c r="G64"/>
  <c r="L63"/>
  <c r="J63"/>
  <c r="H63"/>
  <c r="G63"/>
  <c r="L62"/>
  <c r="J62"/>
  <c r="H62"/>
  <c r="G62"/>
  <c r="L61"/>
  <c r="J61"/>
  <c r="H61"/>
  <c r="G61"/>
  <c r="L60"/>
  <c r="J60"/>
  <c r="H60"/>
  <c r="G60"/>
  <c r="L59"/>
  <c r="J59"/>
  <c r="H59"/>
  <c r="G59"/>
  <c r="L58"/>
  <c r="J58"/>
  <c r="H58"/>
  <c r="G58"/>
  <c r="L57"/>
  <c r="J57"/>
  <c r="H57"/>
  <c r="G57"/>
  <c r="L55"/>
  <c r="J55"/>
  <c r="L54"/>
  <c r="J54"/>
  <c r="L53"/>
  <c r="J53"/>
  <c r="L51"/>
  <c r="J51"/>
  <c r="L41"/>
  <c r="J41"/>
  <c r="L40"/>
  <c r="J40"/>
  <c r="L34"/>
  <c r="J34"/>
  <c r="B60" i="9" l="1"/>
  <c r="B74" i="11"/>
  <c r="B51" i="9"/>
  <c r="B47" i="11"/>
  <c r="F36" i="8"/>
  <c r="F16"/>
  <c r="B36"/>
  <c r="B65" i="16"/>
  <c r="L30" i="14"/>
  <c r="J30"/>
  <c r="I30"/>
  <c r="H30"/>
  <c r="G30"/>
  <c r="L29"/>
  <c r="J29"/>
  <c r="I29"/>
  <c r="H29"/>
  <c r="G29"/>
  <c r="L23"/>
  <c r="J23"/>
  <c r="I23"/>
  <c r="H23"/>
  <c r="G23"/>
  <c r="L22"/>
  <c r="J22"/>
  <c r="I22"/>
  <c r="H22"/>
  <c r="G22"/>
  <c r="L21"/>
  <c r="J21"/>
  <c r="I21"/>
  <c r="H21"/>
  <c r="G21"/>
  <c r="L20"/>
  <c r="J20"/>
  <c r="I20"/>
  <c r="H20"/>
  <c r="G20"/>
  <c r="L19"/>
  <c r="J19"/>
  <c r="I19"/>
  <c r="H19"/>
  <c r="G19"/>
  <c r="I18"/>
  <c r="H18"/>
  <c r="G18"/>
  <c r="B6" l="1"/>
  <c r="G2"/>
  <c r="B2"/>
  <c r="H2" i="17"/>
  <c r="B2"/>
  <c r="H2" i="11"/>
  <c r="B2"/>
  <c r="V36" i="6"/>
  <c r="U36"/>
  <c r="T36"/>
  <c r="S36"/>
  <c r="R36"/>
  <c r="Q36"/>
  <c r="J36"/>
  <c r="I36"/>
  <c r="H36"/>
  <c r="L34"/>
  <c r="H2"/>
  <c r="B2"/>
  <c r="B59" i="16"/>
  <c r="B52"/>
  <c r="H24"/>
  <c r="B24"/>
  <c r="G2"/>
  <c r="B2"/>
  <c r="H17" i="9"/>
  <c r="B17"/>
  <c r="J2"/>
  <c r="B2"/>
  <c r="C122" i="8"/>
  <c r="B122"/>
  <c r="C121"/>
  <c r="C120"/>
  <c r="C118"/>
  <c r="B118"/>
  <c r="C117"/>
  <c r="C116"/>
  <c r="C114"/>
  <c r="B114"/>
  <c r="C113"/>
  <c r="C112"/>
  <c r="I84"/>
  <c r="H84"/>
  <c r="G84"/>
  <c r="F84"/>
  <c r="E84"/>
  <c r="D84"/>
  <c r="C84"/>
  <c r="B84"/>
  <c r="I83"/>
  <c r="H83"/>
  <c r="G83"/>
  <c r="F83"/>
  <c r="E83"/>
  <c r="D83"/>
  <c r="C83"/>
  <c r="I82"/>
  <c r="H82"/>
  <c r="G82"/>
  <c r="F82"/>
  <c r="E82"/>
  <c r="D82"/>
  <c r="C82"/>
  <c r="H2"/>
  <c r="B2"/>
  <c r="K140" i="4"/>
  <c r="J140"/>
  <c r="I140"/>
  <c r="H140"/>
  <c r="G140"/>
  <c r="F140"/>
  <c r="E140"/>
  <c r="D140"/>
  <c r="C140"/>
  <c r="K138"/>
  <c r="J138"/>
  <c r="I138"/>
  <c r="H138"/>
  <c r="G138"/>
  <c r="F138"/>
  <c r="E138"/>
  <c r="D138"/>
  <c r="E123"/>
  <c r="D123"/>
  <c r="C123"/>
  <c r="B123"/>
  <c r="E122"/>
  <c r="D122"/>
  <c r="C122"/>
  <c r="B122"/>
  <c r="E121"/>
  <c r="D121"/>
  <c r="C121"/>
  <c r="E115"/>
  <c r="D115"/>
  <c r="C115"/>
  <c r="B115"/>
  <c r="E114"/>
  <c r="D114"/>
  <c r="C114"/>
  <c r="B114"/>
  <c r="E113"/>
  <c r="D113"/>
  <c r="C113"/>
  <c r="E108"/>
  <c r="D108"/>
  <c r="C108"/>
  <c r="B108"/>
  <c r="E107"/>
  <c r="D107"/>
  <c r="C107"/>
  <c r="B107"/>
  <c r="E106"/>
  <c r="D106"/>
  <c r="C106"/>
  <c r="F79" l="1"/>
  <c r="E79"/>
  <c r="D79"/>
  <c r="C79"/>
  <c r="B79"/>
  <c r="F78"/>
  <c r="E78"/>
  <c r="D78"/>
  <c r="C78"/>
  <c r="B78"/>
  <c r="F77"/>
  <c r="E77"/>
  <c r="D77"/>
  <c r="C77"/>
  <c r="F75"/>
  <c r="E75"/>
  <c r="D75"/>
  <c r="C75"/>
  <c r="B75"/>
  <c r="F74"/>
  <c r="E74"/>
  <c r="D74"/>
  <c r="C74"/>
  <c r="B74"/>
  <c r="F73"/>
  <c r="E73"/>
  <c r="D73"/>
  <c r="C73"/>
  <c r="F71"/>
  <c r="E71"/>
  <c r="D71"/>
  <c r="C71"/>
  <c r="B71"/>
  <c r="F70"/>
  <c r="E70"/>
  <c r="D70"/>
  <c r="C70"/>
  <c r="B70"/>
  <c r="F69"/>
  <c r="E69"/>
  <c r="D69"/>
  <c r="C69"/>
  <c r="G32"/>
  <c r="E32"/>
  <c r="C32"/>
  <c r="B32"/>
  <c r="G31"/>
  <c r="E31"/>
  <c r="C31"/>
  <c r="B31"/>
  <c r="G30"/>
  <c r="E30"/>
  <c r="C30"/>
  <c r="N22"/>
  <c r="M22"/>
  <c r="L22"/>
  <c r="K22"/>
  <c r="J22"/>
  <c r="I22"/>
  <c r="H22"/>
  <c r="G22"/>
  <c r="F22"/>
  <c r="E22"/>
  <c r="D22"/>
  <c r="C22"/>
  <c r="B22"/>
  <c r="N21"/>
  <c r="M21"/>
  <c r="L21"/>
  <c r="K21"/>
  <c r="J21"/>
  <c r="I21"/>
  <c r="H21"/>
  <c r="G21"/>
  <c r="F21"/>
  <c r="E21"/>
  <c r="D21"/>
  <c r="C21"/>
  <c r="B21"/>
  <c r="N20"/>
  <c r="M20"/>
  <c r="L20"/>
  <c r="K20"/>
  <c r="J20"/>
  <c r="I20"/>
  <c r="H20"/>
  <c r="G20"/>
  <c r="F20"/>
  <c r="E20"/>
  <c r="D20"/>
  <c r="C20"/>
  <c r="I2"/>
  <c r="B2"/>
  <c r="C14" i="12"/>
  <c r="B4"/>
  <c r="C2"/>
  <c r="C45" i="2"/>
  <c r="B4"/>
  <c r="C2"/>
  <c r="C5" i="1"/>
  <c r="C3"/>
  <c r="L32" i="4" l="1"/>
  <c r="I30"/>
  <c r="K30" s="1"/>
  <c r="I31"/>
  <c r="K31" s="1"/>
  <c r="L30"/>
  <c r="N30" s="1"/>
  <c r="L31"/>
  <c r="N31" s="1"/>
  <c r="I32"/>
  <c r="K32" s="1"/>
  <c r="I39" i="14"/>
  <c r="I28"/>
  <c r="I50"/>
  <c r="I17"/>
  <c r="N32" i="4"/>
  <c r="G464" i="5"/>
  <c r="F464"/>
  <c r="E464"/>
  <c r="D464"/>
  <c r="C464"/>
</calcChain>
</file>

<file path=xl/sharedStrings.xml><?xml version="1.0" encoding="utf-8"?>
<sst xmlns="http://schemas.openxmlformats.org/spreadsheetml/2006/main" count="1649" uniqueCount="697">
  <si>
    <t>Índice</t>
  </si>
  <si>
    <t>Ligações</t>
  </si>
  <si>
    <t>Voltar</t>
  </si>
  <si>
    <t>Capa</t>
  </si>
  <si>
    <t>QUEM SOMOS?</t>
  </si>
  <si>
    <t>COMO VIVEMOS?</t>
  </si>
  <si>
    <t>QUE ESCOLHAS FAZEMOS?</t>
  </si>
  <si>
    <t>QUE SAÚDE TEMOS?</t>
  </si>
  <si>
    <t>Local de Residência</t>
  </si>
  <si>
    <t>Total</t>
  </si>
  <si>
    <t>0 a 14 anos</t>
  </si>
  <si>
    <t>15 a 64 anos</t>
  </si>
  <si>
    <t>65 e + anos</t>
  </si>
  <si>
    <t>HM</t>
  </si>
  <si>
    <t>H</t>
  </si>
  <si>
    <t>M</t>
  </si>
  <si>
    <t>Continente</t>
  </si>
  <si>
    <t>Região Norte</t>
  </si>
  <si>
    <t>Índices Demográficos</t>
  </si>
  <si>
    <t>Grandes grupos de causas de morte</t>
  </si>
  <si>
    <t>01-03</t>
  </si>
  <si>
    <t>02-04</t>
  </si>
  <si>
    <t>03-05</t>
  </si>
  <si>
    <t>Tumores malignos</t>
  </si>
  <si>
    <t>Todas as causas</t>
  </si>
  <si>
    <t>Doenças do aparelho circulatório</t>
  </si>
  <si>
    <t>Doenças do aparelho respiratório</t>
  </si>
  <si>
    <t>Doenças do aparelho digestivo</t>
  </si>
  <si>
    <t>Topo</t>
  </si>
  <si>
    <t>Tuberculose</t>
  </si>
  <si>
    <t>Diabetes Mellitus</t>
  </si>
  <si>
    <t>Doença isquémica do coração</t>
  </si>
  <si>
    <t>Doenças cerebrovasculares</t>
  </si>
  <si>
    <t>Pneumonia</t>
  </si>
  <si>
    <t>Acidentes de transporte</t>
  </si>
  <si>
    <t>Doença pulmonar obstrutiva crónica (DPOC)</t>
  </si>
  <si>
    <t>Pirâmides Etárias</t>
  </si>
  <si>
    <t>Natalidade</t>
  </si>
  <si>
    <t>Mortalidade</t>
  </si>
  <si>
    <t>Mortalidade Infantil</t>
  </si>
  <si>
    <t>Mortalidade Proporcional</t>
  </si>
  <si>
    <t>Óbitos e Taxa Bruta de Mortalidade</t>
  </si>
  <si>
    <t>96-98</t>
  </si>
  <si>
    <t>97-99</t>
  </si>
  <si>
    <t>98-00</t>
  </si>
  <si>
    <t>99-01</t>
  </si>
  <si>
    <t>00-02</t>
  </si>
  <si>
    <t>04-06</t>
  </si>
  <si>
    <t>05-07</t>
  </si>
  <si>
    <t>Esperança de Vida</t>
  </si>
  <si>
    <t>Esperança de vida</t>
  </si>
  <si>
    <t>HM - Homens e Mulheres  |  H - Homens  | M - Mulheres</t>
  </si>
  <si>
    <t>entrar</t>
  </si>
  <si>
    <t>Quadro Resumo</t>
  </si>
  <si>
    <t>Causas externas</t>
  </si>
  <si>
    <t>Outras causas</t>
  </si>
  <si>
    <t>SSA não classificados</t>
  </si>
  <si>
    <t>25-44</t>
  </si>
  <si>
    <t>45-64</t>
  </si>
  <si>
    <t>65-74</t>
  </si>
  <si>
    <t>75+</t>
  </si>
  <si>
    <t>Doenças endócrinas</t>
  </si>
  <si>
    <t>Homens</t>
  </si>
  <si>
    <t>Mulheres</t>
  </si>
  <si>
    <t xml:space="preserve">* É a variação do número médio de desempregados inscritos nos Centros de Emprego face ao mês homólogo do ano anterior </t>
  </si>
  <si>
    <t>Economia</t>
  </si>
  <si>
    <t>Educação</t>
  </si>
  <si>
    <t>Situação Perante o Emprego</t>
  </si>
  <si>
    <t>DOCUMENTOS LOCAIS</t>
  </si>
  <si>
    <t>VIH / sida</t>
  </si>
  <si>
    <t>Período</t>
  </si>
  <si>
    <t>Unidade</t>
  </si>
  <si>
    <t>Indicador</t>
  </si>
  <si>
    <t>População residente</t>
  </si>
  <si>
    <t>Índice de envelhecimento</t>
  </si>
  <si>
    <t>Nº</t>
  </si>
  <si>
    <t xml:space="preserve">Esperança de vida à nascença </t>
  </si>
  <si>
    <t>Taxa bruta de natalidade</t>
  </si>
  <si>
    <t>‰</t>
  </si>
  <si>
    <t>Sexo</t>
  </si>
  <si>
    <t>CRS</t>
  </si>
  <si>
    <t>PA</t>
  </si>
  <si>
    <t>Ficha Técnica</t>
  </si>
  <si>
    <t>Título</t>
  </si>
  <si>
    <t>E-mail de contacto</t>
  </si>
  <si>
    <t>FICHA TÉCNICA</t>
  </si>
  <si>
    <t>CT</t>
  </si>
  <si>
    <t>DDI-URVE</t>
  </si>
  <si>
    <t>DGS</t>
  </si>
  <si>
    <t>DSP</t>
  </si>
  <si>
    <t>Departamento de Saúde Pública</t>
  </si>
  <si>
    <t>Habitantes</t>
  </si>
  <si>
    <t>hab</t>
  </si>
  <si>
    <t>NUT</t>
  </si>
  <si>
    <t>Nomenclatura de Unidade Territorial</t>
  </si>
  <si>
    <t>Portadores Assintomáticos</t>
  </si>
  <si>
    <t>PLS</t>
  </si>
  <si>
    <t>Perfil Local de Saúde</t>
  </si>
  <si>
    <t>Síndrome de Imunodeficiência Adquirida</t>
  </si>
  <si>
    <t>SVIG-TB</t>
  </si>
  <si>
    <t>Sistema de Informação Intrínseco do Programa Nacional de Luta contra a Tuberculose</t>
  </si>
  <si>
    <t>TB</t>
  </si>
  <si>
    <t>INDICADORES</t>
  </si>
  <si>
    <t>Índice de dependência de idosos</t>
  </si>
  <si>
    <t>(Número de pessoas com 65 ou mais anos / Número de pessoas com idades compreendidas entre os 15 e os 64 anos ) x 100</t>
  </si>
  <si>
    <t>Índice de dependência de jovens</t>
  </si>
  <si>
    <t>(Número de pessoas com menos de 15 anos / Número de pessoas com idades compreendidas entre os 15 e os 64 anos ) x 100</t>
  </si>
  <si>
    <t>Designação</t>
  </si>
  <si>
    <t>Cálculo</t>
  </si>
  <si>
    <t>Esperança de vida à nascença</t>
  </si>
  <si>
    <t>Taxa bruta de mortalidade</t>
  </si>
  <si>
    <t>Taxa de mortalidade infantil</t>
  </si>
  <si>
    <t>TMP</t>
  </si>
  <si>
    <t>Taxa de mortalidade padronizada pela idade</t>
  </si>
  <si>
    <t>%</t>
  </si>
  <si>
    <t>População servida por sistemas públicos de abastecimento de água</t>
  </si>
  <si>
    <t>/100000 hab</t>
  </si>
  <si>
    <t>e-mail:</t>
  </si>
  <si>
    <t>(Número de nados-vivos / População residente estimada para o meio do ano) x 1000</t>
  </si>
  <si>
    <t>VIH</t>
  </si>
  <si>
    <t>Vírus da Imunodeficiência Humana</t>
  </si>
  <si>
    <t>2008</t>
  </si>
  <si>
    <t>Agrupamento de Centros de Saúde</t>
  </si>
  <si>
    <t>ULS</t>
  </si>
  <si>
    <t>Unidade Local de Saúde</t>
  </si>
  <si>
    <t>VIH /sida</t>
  </si>
  <si>
    <t>PIRÂMIDES ETÁRIAS</t>
  </si>
  <si>
    <t>Mortalidade Infantil e Componentes</t>
  </si>
  <si>
    <t>Taxa de mortalidade neonatal</t>
  </si>
  <si>
    <t>07-09</t>
  </si>
  <si>
    <t>Triénio 1996-1998</t>
  </si>
  <si>
    <t xml:space="preserve">15 - 19 </t>
  </si>
  <si>
    <t xml:space="preserve">20 - 24 </t>
  </si>
  <si>
    <t xml:space="preserve">25 - 29 </t>
  </si>
  <si>
    <t xml:space="preserve">30 - 34 </t>
  </si>
  <si>
    <t xml:space="preserve">35 - 39 </t>
  </si>
  <si>
    <t xml:space="preserve">40 - 44 </t>
  </si>
  <si>
    <t xml:space="preserve">45 - 49 </t>
  </si>
  <si>
    <t xml:space="preserve">50 - 54 </t>
  </si>
  <si>
    <t xml:space="preserve">55 - 59 </t>
  </si>
  <si>
    <t xml:space="preserve">60 - 64 </t>
  </si>
  <si>
    <t xml:space="preserve">65 - 69 </t>
  </si>
  <si>
    <t xml:space="preserve">70 - 74 </t>
  </si>
  <si>
    <t xml:space="preserve">75 - 79 </t>
  </si>
  <si>
    <t xml:space="preserve">80 - 84 </t>
  </si>
  <si>
    <t>85+</t>
  </si>
  <si>
    <t xml:space="preserve"> Homens</t>
  </si>
  <si>
    <t xml:space="preserve"> Mulheres</t>
  </si>
  <si>
    <t xml:space="preserve">00 - 04 </t>
  </si>
  <si>
    <t>10 - 14</t>
  </si>
  <si>
    <t>05 - 09</t>
  </si>
  <si>
    <t>Índice de Envelhecimento</t>
  </si>
  <si>
    <t>Índice de Dependência de Jovens</t>
  </si>
  <si>
    <t>Índice de Dependência de Idosos</t>
  </si>
  <si>
    <t>Total_HM</t>
  </si>
  <si>
    <t>Total_M</t>
  </si>
  <si>
    <t>Total_H</t>
  </si>
  <si>
    <t>00-14_HM</t>
  </si>
  <si>
    <t>00-14_H</t>
  </si>
  <si>
    <t>00-14_M</t>
  </si>
  <si>
    <t>15-64_HM</t>
  </si>
  <si>
    <t>65+_HM</t>
  </si>
  <si>
    <t>15-64_H</t>
  </si>
  <si>
    <t>15-64_M</t>
  </si>
  <si>
    <t>65+_M</t>
  </si>
  <si>
    <t>65+_H</t>
  </si>
  <si>
    <t>População Residente</t>
  </si>
  <si>
    <t>EVOLUÇÃO DA POPULAÇÃO RESIDENTE ENTRE OS RECENSEAMENTOS DE 1991, 2001, 2011</t>
  </si>
  <si>
    <t>Crescimento Populacional</t>
  </si>
  <si>
    <t>de 1991 a 2001</t>
  </si>
  <si>
    <t>de 2001 a 2011</t>
  </si>
  <si>
    <t>Número</t>
  </si>
  <si>
    <t>06-08</t>
  </si>
  <si>
    <t>08-10</t>
  </si>
  <si>
    <t>Homens e Mulheres</t>
  </si>
  <si>
    <t>Diferença</t>
  </si>
  <si>
    <t>Rendimento Social de Inserção</t>
  </si>
  <si>
    <t>Nascimentos em Mulheres em Idade de Risco</t>
  </si>
  <si>
    <t>Nascimentos Pré-Termo e Baixo Peso à Nascença</t>
  </si>
  <si>
    <t>Suporte Social</t>
  </si>
  <si>
    <t>INDICADORES DE SUPORTE SOCIAL</t>
  </si>
  <si>
    <t>Segurança</t>
  </si>
  <si>
    <t>Taxa de Criminalidade (/1000 habitantes)</t>
  </si>
  <si>
    <t>Taxa de crimes contra a integridade física (/1000 habitantes)</t>
  </si>
  <si>
    <t>Tumor maligno da próstata</t>
  </si>
  <si>
    <t>Tumor maligno do esôfago</t>
  </si>
  <si>
    <t>Tumor maligno do estômago</t>
  </si>
  <si>
    <t>Tumor maligno do pâncreas</t>
  </si>
  <si>
    <t>Tumor maligno da traqueia, brônquios e pulmão</t>
  </si>
  <si>
    <t>Tumor maligno do colo do útero</t>
  </si>
  <si>
    <t>Tumor maligno da bexiga</t>
  </si>
  <si>
    <t>TABELA RESUMO</t>
  </si>
  <si>
    <t>Min</t>
  </si>
  <si>
    <t>Max</t>
  </si>
  <si>
    <t>Mediana</t>
  </si>
  <si>
    <t>Q1</t>
  </si>
  <si>
    <t>Q3</t>
  </si>
  <si>
    <t>bottom</t>
  </si>
  <si>
    <t>2Q Box</t>
  </si>
  <si>
    <t>3Q Box</t>
  </si>
  <si>
    <t>bar1</t>
  </si>
  <si>
    <t>bar2</t>
  </si>
  <si>
    <t>Tranformação de Variáveis</t>
  </si>
  <si>
    <t>Pior</t>
  </si>
  <si>
    <t>Melhor</t>
  </si>
  <si>
    <t>Índce de Envelhecimento</t>
  </si>
  <si>
    <t>Taxa Bruta de Natalidade</t>
  </si>
  <si>
    <t>ISF</t>
  </si>
  <si>
    <t>EV - Homens</t>
  </si>
  <si>
    <t>EV - Mulheres</t>
  </si>
  <si>
    <t>Índice Sintético de Fecundidade (ISF)</t>
  </si>
  <si>
    <t>/100</t>
  </si>
  <si>
    <t>09-11</t>
  </si>
  <si>
    <t>Desempregados (H)</t>
  </si>
  <si>
    <t>Desempregados (M)</t>
  </si>
  <si>
    <t>Homens (‰)</t>
  </si>
  <si>
    <t>Mulheres (‰)</t>
  </si>
  <si>
    <t>Doenças ap circulatório</t>
  </si>
  <si>
    <t>Doenças ap respiratório</t>
  </si>
  <si>
    <t>Doenças ap digestivo</t>
  </si>
  <si>
    <t>5-24</t>
  </si>
  <si>
    <t>Taxa de criminalidade</t>
  </si>
  <si>
    <t>Tx Criminalidade</t>
  </si>
  <si>
    <t>SistemaPublico AbastAgua</t>
  </si>
  <si>
    <t>Taxa de mortalidade perinatal</t>
  </si>
  <si>
    <t>Nascimentos em mulheres com idade &lt; 20 anos</t>
  </si>
  <si>
    <t>Nascimentos em mulheres com idade ≥ 35 anos</t>
  </si>
  <si>
    <t>Taxa Bruta Mortalidade</t>
  </si>
  <si>
    <t>Mortalidade Neonatal</t>
  </si>
  <si>
    <t>Mortalidade Perinatal</t>
  </si>
  <si>
    <t>%Nasc. Mulh &lt;20 anos</t>
  </si>
  <si>
    <t>%Nasc. Mulh &gt;=35 anos</t>
  </si>
  <si>
    <t>Crianças com baixo peso à nascença</t>
  </si>
  <si>
    <t>%Nascimentos Pré-Termo</t>
  </si>
  <si>
    <t>Crian Baixo Peso Nasc.</t>
  </si>
  <si>
    <t>TMTBM_H</t>
  </si>
  <si>
    <t>TMTBP_M</t>
  </si>
  <si>
    <t>TME_H</t>
  </si>
  <si>
    <t>TME_M</t>
  </si>
  <si>
    <t>TMMF</t>
  </si>
  <si>
    <t>DIC_H</t>
  </si>
  <si>
    <t>DIC_M</t>
  </si>
  <si>
    <t>DCer_H</t>
  </si>
  <si>
    <t>DCer_M</t>
  </si>
  <si>
    <t>DCFC_H</t>
  </si>
  <si>
    <t>DCFC_M</t>
  </si>
  <si>
    <t>Atransp_H</t>
  </si>
  <si>
    <t>Atransp_M</t>
  </si>
  <si>
    <t>TxInc sida</t>
  </si>
  <si>
    <t>TxInc Tub</t>
  </si>
  <si>
    <t>Legenda</t>
  </si>
  <si>
    <t>2,1 - 4,0</t>
  </si>
  <si>
    <t>4,1 - 6,0</t>
  </si>
  <si>
    <t>5,1 - 10,0</t>
  </si>
  <si>
    <t>TxInc VIH</t>
  </si>
  <si>
    <t>Desiganações do ACeS/ULS para mapa</t>
  </si>
  <si>
    <t>A TMP é inferior sem significância estatística</t>
  </si>
  <si>
    <t>A TMP é superior sem significância estatística</t>
  </si>
  <si>
    <r>
      <t xml:space="preserve">A TMP é inferior </t>
    </r>
    <r>
      <rPr>
        <b/>
        <sz val="9"/>
        <color theme="1"/>
        <rFont val="Arial"/>
        <family val="2"/>
      </rPr>
      <t>com</t>
    </r>
    <r>
      <rPr>
        <sz val="9"/>
        <color theme="1"/>
        <rFont val="Arial"/>
        <family val="2"/>
      </rPr>
      <t xml:space="preserve"> significância estatística</t>
    </r>
  </si>
  <si>
    <r>
      <t xml:space="preserve">A TMP é superior </t>
    </r>
    <r>
      <rPr>
        <b/>
        <sz val="9"/>
        <color theme="1"/>
        <rFont val="Arial"/>
        <family val="2"/>
      </rPr>
      <t>com</t>
    </r>
    <r>
      <rPr>
        <sz val="9"/>
        <color theme="1"/>
        <rFont val="Arial"/>
        <family val="2"/>
      </rPr>
      <t xml:space="preserve"> significância estatística</t>
    </r>
  </si>
  <si>
    <t>RSI</t>
  </si>
  <si>
    <t>DISTRIBUIÇÃO (%) DA POPULAÇÃO EMPREGADA POR SECTOR DE ACTIVIDADE ECONÓMICA (CENSOS 2001 E 2011)</t>
  </si>
  <si>
    <t>DISTRIBUIÇÃO (%) DA POPULAÇÃO RESIDENTE POR NÍVEL DE ESCOLARIDADE COMPLETO (CENSOS 2001 E 2011)</t>
  </si>
  <si>
    <t>Nenhum</t>
  </si>
  <si>
    <t>Básico</t>
  </si>
  <si>
    <t>Superior</t>
  </si>
  <si>
    <t xml:space="preserve"> Taxa de analfabetismo (%)</t>
  </si>
  <si>
    <t>* Para os concelhos em que não estão disponíveis os valores de 2009 são utilizados os valores do último ano disponível</t>
  </si>
  <si>
    <t>Var. (Ult-1º)</t>
  </si>
  <si>
    <t>dif. (1º)</t>
  </si>
  <si>
    <t>dif. (Ult)</t>
  </si>
  <si>
    <t>Pior valor</t>
  </si>
  <si>
    <t>Melhor valor</t>
  </si>
  <si>
    <t>Meta Informação</t>
  </si>
  <si>
    <t>Aspetos a destacar</t>
  </si>
  <si>
    <t>EVOLUÇÃO DA ESPERANÇA DE VIDA À NASCENÇA PARA O SEXO FEMININO, TRIÉNIOS 1996-1998 A 2008-2010</t>
  </si>
  <si>
    <t>DISTRIBUIÇÃO (%) DA POPULAÇÃO EMPREGADA POR SETOR DE ATIVIDADE ECONÓMICA (CENSOS 2001 E 2011)</t>
  </si>
  <si>
    <t>Setor Primário</t>
  </si>
  <si>
    <t>Setor Secundário</t>
  </si>
  <si>
    <t>Setor Terciário</t>
  </si>
  <si>
    <t>Doenças infeciosas</t>
  </si>
  <si>
    <t>Departamento de Doenças Infeciosas - Unidade de Referência e Vigilância Epidemiológica</t>
  </si>
  <si>
    <t>NA</t>
  </si>
  <si>
    <t>POPULAÇÃO RESIDENTE (ESTIMATIVAS 2012), POR SEXO E POR GRUPO ETÁRIO</t>
  </si>
  <si>
    <t>EVOLUÇÃO DO ÍNDICE DE ENVELHECIMENTO, 1991-2012</t>
  </si>
  <si>
    <t>EVOLUÇÃO DO ÍNDICE DE DEPENDÊNCIA DE IDOSOS, 1991-2012</t>
  </si>
  <si>
    <t>EVOLUÇÃO DO ÍNDICE DE DEPENDÊNCIA DE JOVENS, 1991-2010</t>
  </si>
  <si>
    <t>EVOLUÇÃO DO NÚMERO DE NADOS VIVOS, 1996-2012</t>
  </si>
  <si>
    <t>ÍNDICES DEMOGRÁFICOS (1991, 2001, 2011 E 2012)</t>
  </si>
  <si>
    <t>EVOLUÇÃO DO ÍNDICE DE DEPENDÊNCIA DE JOVENS, 1991-2012</t>
  </si>
  <si>
    <t>EVOLUÇÃO DA TAXA BRUTA DE NATALIDADE (/1000 HABITANTES), 1996-2012</t>
  </si>
  <si>
    <t>EVOLUÇÃO DO ÍNDICE SINTÉTICO DE FECUNDIDADE (ISF), 1996-2012</t>
  </si>
  <si>
    <t>EVOLUÇÃO DA ESPERANÇA DE VIDA À NASCENÇA, 1996-1998 a 2010-2012</t>
  </si>
  <si>
    <t>O Índice Sintético de Fecundidade (ISF) é o número médio de crianças vivas nascidas por mulher em idade fértil (dos 15 aos 49 anos de idade), admitindo que as mulheres estariam submetidas às taxas de fecundidade observadas no momento. O número de 2,1 crianças por mulher é considerado o nível mínimo para assegurar a substituição de gerações, nos países mais desenvolvidos.</t>
  </si>
  <si>
    <t>EVOLUÇÃO DO NÚMERO DE NADOS VIVOS (1997, 2002, 2007, 2012)</t>
  </si>
  <si>
    <t>EVOLUÇÃO DA TAXA BRUTA DE NATALIDADE (/1000 HABITANTES) (1997, 2002, 2007, 2012)</t>
  </si>
  <si>
    <t>EVOLUÇÃO DO ÍNDICE SINTÉTICO DE FECUNDIDADE (ISF) (1997, 2002, 2007, 2012)</t>
  </si>
  <si>
    <t>10-12</t>
  </si>
  <si>
    <t>ESPERANÇA DE VIDA À NASCENÇA, TRIÉNIOS 1996-1998 E 2010-2012</t>
  </si>
  <si>
    <t>Triénio 2010-2012</t>
  </si>
  <si>
    <t>EVOLUÇÃO DA ESPERANÇA DE VIDA À NASCENÇA PARA O SEXO MASCULINO, TRIÉNIOS 1996-1998 A 2010-2012</t>
  </si>
  <si>
    <t>VARIAÇÃO HOMÓLOGA (MENSAL) DO NÚMERO DE DESEMPREGADOS INSCRITOS NO INSTITUTO DE EMPREGO E FORMAÇÃO PROFISSIONAL (IEFP) NA ARS E NO ACeS/ULS</t>
  </si>
  <si>
    <t>Ambos (‰)</t>
  </si>
  <si>
    <t>Número de desempregados inscritos no IEFP</t>
  </si>
  <si>
    <t>Variação homóloga * do nº de desempregados inscritos no IEFP</t>
  </si>
  <si>
    <t>Censos 2001</t>
  </si>
  <si>
    <t>Censos 2011</t>
  </si>
  <si>
    <t>RSI(Nº), 2012</t>
  </si>
  <si>
    <t>Pens, 2012</t>
  </si>
  <si>
    <t>VM€, 2012</t>
  </si>
  <si>
    <t>SubDes, 2012</t>
  </si>
  <si>
    <t>EVOLUÇÃO DA TAXA DE CRIMINALIDADE (/1000 HABITANTES) , 1998-2012</t>
  </si>
  <si>
    <t>EVOLUÇÃO DA TAXA DE CRIMES CONTRA A INTEGRIDADE FÍSICA (/1000 HABITANTES) , 1998-2012</t>
  </si>
  <si>
    <t>EVOLUÇÃO DA TAXA DE CONDUÇÃO COM ALCOOLÉMIA SUPERIOR A 1,2 (/1000 HABITANTES) , 1998-2012</t>
  </si>
  <si>
    <t>INDICADORES DE CRIMINALIDADE (1998, 2005, 2012)</t>
  </si>
  <si>
    <t>Secundário</t>
  </si>
  <si>
    <t>Taxa de abandono escolar (%)</t>
  </si>
  <si>
    <t>TAXA DE ABANDONO ESCOLAR (%) E TAXA DE ANALFABETISMO (%), CENSOS 2001 E 2011</t>
  </si>
  <si>
    <t>Taxa de analfabetismo (%), 2001</t>
  </si>
  <si>
    <t>Taxa de analfabetismo (%), 2011</t>
  </si>
  <si>
    <t>Taxa de abandono escolar (%), 2001</t>
  </si>
  <si>
    <t xml:space="preserve"> Taxa de abandono escolar (%), 2011</t>
  </si>
  <si>
    <r>
      <t xml:space="preserve">GANHO MÉDIO MENSAL DE TRABALHADORES POR CONTA DE OUTREM E PODER DE COMPRA </t>
    </r>
    <r>
      <rPr>
        <i/>
        <sz val="8"/>
        <color rgb="FFFF6600"/>
        <rFont val="Arial"/>
        <family val="2"/>
      </rPr>
      <t>PER CAPITA</t>
    </r>
  </si>
  <si>
    <r>
      <t xml:space="preserve">Poder de Compra </t>
    </r>
    <r>
      <rPr>
        <b/>
        <i/>
        <sz val="10"/>
        <color indexed="9"/>
        <rFont val="Arial"/>
        <family val="2"/>
      </rPr>
      <t>per capita</t>
    </r>
  </si>
  <si>
    <t>Ganho médio mensal de trabalhadores por conta de outrem (€)</t>
  </si>
  <si>
    <t>PCpc, 2005</t>
  </si>
  <si>
    <t>PCpc, 2011</t>
  </si>
  <si>
    <t>GMM, 2007</t>
  </si>
  <si>
    <t>GMM, 2009</t>
  </si>
  <si>
    <t>GMM, 2011</t>
  </si>
  <si>
    <t>SDAR, 2009</t>
  </si>
  <si>
    <t>SPAA, 2009</t>
  </si>
  <si>
    <t>ETAR, 2009</t>
  </si>
  <si>
    <t>Determinantes nos CSP</t>
  </si>
  <si>
    <t>Proporção de consultas médicas presenciais que deram origem a pelo menos uma codificação ICPC-2</t>
  </si>
  <si>
    <t>PROPORÇÃO DE INSCRITOS (%) POR DIAGNÓSTICO ATIVO, DEZEMBRO 2012</t>
  </si>
  <si>
    <t>Abuso crónico do álcool (P15)</t>
  </si>
  <si>
    <t>Abuso do tabaco (P17)</t>
  </si>
  <si>
    <t>Abuso de drogas (P19)</t>
  </si>
  <si>
    <t>Excesso de peso (T83)</t>
  </si>
  <si>
    <t>P15</t>
  </si>
  <si>
    <t>P17</t>
  </si>
  <si>
    <t>ICPC2</t>
  </si>
  <si>
    <t>Diagnóstico</t>
  </si>
  <si>
    <t>P19</t>
  </si>
  <si>
    <t>T83</t>
  </si>
  <si>
    <r>
      <t>Diagnóstico ativo (</t>
    </r>
    <r>
      <rPr>
        <b/>
        <sz val="8"/>
        <color theme="0"/>
        <rFont val="Arial"/>
        <family val="2"/>
      </rPr>
      <t>ICPC-2</t>
    </r>
    <r>
      <rPr>
        <b/>
        <sz val="9"/>
        <color theme="0"/>
        <rFont val="Arial"/>
        <family val="2"/>
      </rPr>
      <t>)</t>
    </r>
  </si>
  <si>
    <t>EVOLUÇÃO DA PROPORÇÃO (%) DE NASCIMENTOS PRÉ-TERMO (01-03, 04-06, 07-09, 10-12) (MÉDIA ANUAL POR TRIÉNIOS)</t>
  </si>
  <si>
    <t>EVOLUÇÃO DA PROPORÇÃO (%) DE CRIANÇAS COM BAIXO PESO À NASCENÇA (01-03, 04-06, 07-09, 10-12) (MÉDIA ANUAL POR TRIÉNIOS)</t>
  </si>
  <si>
    <t>EVOLUÇÃO DA PROPORÇÃO (%) DE NASCIMENTOS PRÉ-TERMO, 2000-2012 (MÉDIA ANUAL POR TRIÉNIOS)</t>
  </si>
  <si>
    <t>EVOLUÇÃO DA PROPORÇÃO (%) DE CRIANÇAS COM BAIXO PESO À NASCENÇA, 1996-2012 (MÉDIA ANUAL POR TRIÉNIOS)</t>
  </si>
  <si>
    <t>EVOLUÇÃO DA TAXA BRUTA DE MORTALIDADE (/1000 HABITANTES) (1997, 2002, 2007, 2012)</t>
  </si>
  <si>
    <t>EVOLUÇÃO DO NÚMERO DE ÓBITOS (1997, 2002, 2007, 2012)</t>
  </si>
  <si>
    <t>EVOLUÇÃO DA TAXA BRUTA DE MORTALIDADE (/1000 HABITANTES), 1996-2012</t>
  </si>
  <si>
    <t>EVOLUÇÃO DA TAXA DE MORTALIDADE INFANTIL (/1000 NADOS VIVOS), 1996-2012 (MÉDIA ANUAL POR TRIÉNIOS)</t>
  </si>
  <si>
    <t>EVOLUÇÃO DA TAXA DE MORTALIDADE NEONATAL (/1000 NADOS VIVOS), 1996-2012 (MÉDIA ANUAL POR TRIÉNIOS)</t>
  </si>
  <si>
    <t>EVOLUÇÃO DA TAXA DE MORTALIDADE NEONATAL PRECOCE (/1000 NADOS VIVOS), 1996-2012 (MÉDIA ANUAL POR TRIÉNIOS)</t>
  </si>
  <si>
    <t>EVOLUÇÃO DA TAXA DE MORTALIDADE PÓS-NEONATAL (/1000 NADOS VIVOS), 1996-2012 (MÉDIA ANUAL POR TRIÉNIOS)</t>
  </si>
  <si>
    <t>EVOLUÇÃO DA TAXA DE MORTALIDADE FETAL TARDIA (/1000 (NV+FM 28+ SEM)), 1996-2012 (MÉDIA ANUAL POR TRIÉNIOS)</t>
  </si>
  <si>
    <t>EVOLUÇÃO DA TAXA DE MORTALIDADE PERINATAL (/1000 (NV+FM 28+ SEM)), 1996-2012 (MÉDIA ANUAL POR TRIÉNIOS)</t>
  </si>
  <si>
    <t>MORTALIDADE PROPORCIONAL NO TRIÉNIO 2009-2011, PARA TODAS AS IDADES E AMBOS OS SEXOS</t>
  </si>
  <si>
    <t>MORTALIDADE PROPORCIONAL NO TRIÉNIO 2009-2011, PARA AS IDADES INFERIORES A 75 ANOS E AMBOS OS SEXOS</t>
  </si>
  <si>
    <t>MORTALIDADE PROPORCIONAL NO TRIÉNIO 2009-2011 POR CICLO DE VIDA PARA OS GRANDES GRUPOS DE CAUSAS DE MORTE, AMBOS OS SEXOS</t>
  </si>
  <si>
    <t>MORTALIDADE PADRONIZADA NOS TRIÉNIOS DE 2009-2011, PARA &lt;75 ANOS E POR SEXO</t>
  </si>
  <si>
    <t>Taxa de Mortalidade Padronizada pela idade (TMP), &lt;75 anos</t>
  </si>
  <si>
    <t xml:space="preserve">Sintomas, sinais e achados anormais não classificados </t>
  </si>
  <si>
    <t>Algumas doenças infeciosas e parasitárias</t>
  </si>
  <si>
    <t>Tumor maligno do lábio, cavidade oral e faringe</t>
  </si>
  <si>
    <t>Tumor maligno do aparelho digestivo e peritoneu</t>
  </si>
  <si>
    <t>Tumor maligno do cólon e reto</t>
  </si>
  <si>
    <t>Tumor maligno do aparelho respiratório</t>
  </si>
  <si>
    <t>Tumor maligno dos ossos, pele e mama</t>
  </si>
  <si>
    <t>Tumor maligno da mama (feminina)</t>
  </si>
  <si>
    <t>Tumor maligno dos órgãos geniturinários</t>
  </si>
  <si>
    <t>Tumor maligno de outras localizações e de localizações não esp.</t>
  </si>
  <si>
    <t>Tumor maligno do tecido linfático e orgão hematopoéticos</t>
  </si>
  <si>
    <t>Doenças endócrinas, nutricionais e metabólicas</t>
  </si>
  <si>
    <t>Doença crónica do fígado e cirrose</t>
  </si>
  <si>
    <t>Causas externas de mortalidade</t>
  </si>
  <si>
    <t>Acidentes de veículos a motor</t>
  </si>
  <si>
    <t>Lesões autoprovocadas intencionalmente (suicídios)</t>
  </si>
  <si>
    <t>Tumor maligno de outras localizações e de local. não esp.</t>
  </si>
  <si>
    <t>C1_HM</t>
  </si>
  <si>
    <t>C1_H</t>
  </si>
  <si>
    <t>C1_M</t>
  </si>
  <si>
    <t>C2_HM</t>
  </si>
  <si>
    <t>C2_H</t>
  </si>
  <si>
    <t>C2_M</t>
  </si>
  <si>
    <t>EVOLUÇÃO DA TAXA DE MORTALIDADE PADRONIZADA (/100000 HABITANTES) NO TRIÉNIO 2009-2011 (MÉDIA ANUAL), NA POPULAÇÃO COM IDADE INFERIOR A 75 ANOS E POR SEXO</t>
  </si>
  <si>
    <t>MORTALIDADE PROPORCIONAL POR GRANDES GRUPOS DE CAUSAS DE MORTE NO TRIÉNIO 2009-2011, PARA AS IDADES INFERIORES A 75 ANOS E AMBOS OS SEXOS</t>
  </si>
  <si>
    <t>MORTALIDADE PROPORCIONAL POR GRANDES GRUPOS DE CAUSAS DE MORTE NO TRIÉNIO 2009-2011, PARA TODAS AS IDADES E AMBOS OS SEXOS</t>
  </si>
  <si>
    <t>Morbilidade nos CSP</t>
  </si>
  <si>
    <t>D74</t>
  </si>
  <si>
    <t>D75</t>
  </si>
  <si>
    <t>D82</t>
  </si>
  <si>
    <t>K74 ou K76</t>
  </si>
  <si>
    <t>K75</t>
  </si>
  <si>
    <t>K86 ou K87</t>
  </si>
  <si>
    <t>K90</t>
  </si>
  <si>
    <t>L89</t>
  </si>
  <si>
    <t>L90</t>
  </si>
  <si>
    <t>L95</t>
  </si>
  <si>
    <t>P70</t>
  </si>
  <si>
    <t>P76</t>
  </si>
  <si>
    <t>R79</t>
  </si>
  <si>
    <t>R84</t>
  </si>
  <si>
    <t>R95</t>
  </si>
  <si>
    <t>R96</t>
  </si>
  <si>
    <t>T82</t>
  </si>
  <si>
    <t>T89</t>
  </si>
  <si>
    <t>T90</t>
  </si>
  <si>
    <t>T89 ou T90</t>
  </si>
  <si>
    <t>T93</t>
  </si>
  <si>
    <t>X75</t>
  </si>
  <si>
    <t>X76</t>
  </si>
  <si>
    <t>Y77</t>
  </si>
  <si>
    <t>Neoplasia maligna do estômago (D74)</t>
  </si>
  <si>
    <t>Doenças dos dentes e gengivas (7 anos) (D82)</t>
  </si>
  <si>
    <t>Doença cardíaca isquémica (K74 ou K76)</t>
  </si>
  <si>
    <t>Enfarte agudo do miocárdio (K75)</t>
  </si>
  <si>
    <t>Hipertensão (K86 ou K87)</t>
  </si>
  <si>
    <t>Trombose / acidente vascular cerebral (K90)</t>
  </si>
  <si>
    <t>Osteoartrose da anca (L89)</t>
  </si>
  <si>
    <t>Osteoartrose do joelho (L90)</t>
  </si>
  <si>
    <t>Osteoporose (L95)</t>
  </si>
  <si>
    <t>Demência (P70)</t>
  </si>
  <si>
    <t>Perturbações depressivas (P76)</t>
  </si>
  <si>
    <t>Bronquite crónica (R79)</t>
  </si>
  <si>
    <t>Neoplasia maligna do brônquio / pulmão (R84)</t>
  </si>
  <si>
    <t>Asma (R96)</t>
  </si>
  <si>
    <t>Obesidade (T82)</t>
  </si>
  <si>
    <t>Diabetes - insulino dependente (T89)</t>
  </si>
  <si>
    <t>Diabetes - não insulino dependente (T90)</t>
  </si>
  <si>
    <t>Diabetes (T89 ou T90)</t>
  </si>
  <si>
    <t>Alterações do metabolismo dos lípidos (T93)</t>
  </si>
  <si>
    <t>Neoplasia maligna do colo do útero (X75)</t>
  </si>
  <si>
    <t>Neoplasia maligna da mama feminina (X76)</t>
  </si>
  <si>
    <t>Neoplasia maligna da próstata (Y77)</t>
  </si>
  <si>
    <t>Neoplasia maligna do cólon e reto (D75)</t>
  </si>
  <si>
    <t>2011</t>
  </si>
  <si>
    <t>EVOLUÇÃO DA TAXA DE INCIDÊNCIA  (/100000 HABITANTES) DE SIDA, 2000-2012</t>
  </si>
  <si>
    <t>EVOLUÇÃO DA TAXA DE INCIDÊNCIA (/100000 HABITANTES) DA INFECÇÃO VIH (CRS+PA+SIDA), 2000-2012</t>
  </si>
  <si>
    <t>EVOLUÇÃO DA TAXA DE NOTIFICAÇÃO  (/100000 HABITANTES) DE TUBERCULOSE, 2000-2012</t>
  </si>
  <si>
    <t>Casos declarados até 31/12/2012</t>
  </si>
  <si>
    <t>Casos declarados até 31/12/2012.  CRS - Complexo Relacionado com Sida; PA - Portadores Assintomáticos; sida - síndrome de imunodefeciência adquirida</t>
  </si>
  <si>
    <t>EVOLUÇÃO DA TAXA DE INCIDÊNCIA (/100000 HABITANTES) DA INFEÇÃO VIH (CRS+PA+SIDA), 2001-2012</t>
  </si>
  <si>
    <t>EVOLUÇÃO DA TAXA DE INCIDÊNCIA (/100000 HABITANTES) DE SIDA, 2001-2012</t>
  </si>
  <si>
    <t>EVOLUÇÃO DA TAXA DE INCIDÊNCIA (/100000 HABITANTES) DE SIDA , 2000-2012</t>
  </si>
  <si>
    <t>EVOLUÇÃO DA TAXA DE INCIDÊNCIA (/100000 HABITANTES) DA INFEÇÃO VIH (CRS+PA+SIDA), 2000-2012</t>
  </si>
  <si>
    <t>EVOLUÇÃO DA TAXA DE INCIDÊNCIA (/100000 HABITANTES) DE TUBERCULOSE, 2000-2012</t>
  </si>
  <si>
    <t>10,1 - 15,0</t>
  </si>
  <si>
    <t>&gt; 15,0</t>
  </si>
  <si>
    <t>≤ 5,0</t>
  </si>
  <si>
    <r>
      <rPr>
        <sz val="8"/>
        <color theme="1" tint="0.34998626667073579"/>
        <rFont val="Calibri"/>
        <family val="2"/>
      </rPr>
      <t xml:space="preserve">≤ </t>
    </r>
    <r>
      <rPr>
        <sz val="8"/>
        <color theme="1" tint="0.34998626667073579"/>
        <rFont val="Arial"/>
        <family val="2"/>
      </rPr>
      <t>2,0</t>
    </r>
  </si>
  <si>
    <t>&gt; 6,0</t>
  </si>
  <si>
    <t>≤ 20,0</t>
  </si>
  <si>
    <t>20,1 - 30,0</t>
  </si>
  <si>
    <t>30,1 - 40,0</t>
  </si>
  <si>
    <t>&gt; 40,0</t>
  </si>
  <si>
    <t>Alteração no metabolismo dos lípidos (T93)</t>
  </si>
  <si>
    <t>---</t>
  </si>
  <si>
    <t>Determinantes de Saúde - Registo nos Cuidados de Saúde Primários</t>
  </si>
  <si>
    <t>Morbilidade - Registo nos Cuidados de Saúde Primários</t>
  </si>
  <si>
    <t>EVOLUÇÃO DA TAXA DE INCIDÊNCIA (/100000 HABITANTES) DE TUBERCULOSE, 2001-2012</t>
  </si>
  <si>
    <t>EVOLUÇÃO DOS BENEFICIÁRIOS DO RENDIMENTO SOCIAL DE INSERÇÃO DA SEGURANÇA SOCIAL POR 1000 HABITANTES DA POPULAÇÃO ATIVA (15+ ANOS), 2007-2012</t>
  </si>
  <si>
    <t>EVOLUÇÃO DOS PENSIONISTAS DA SEGURANÇA SOCIAL /1000 HABITANTES DA POPULAÇÃO ATIVA (15+ ANOS), 2004-2012</t>
  </si>
  <si>
    <r>
      <t>RSI(</t>
    </r>
    <r>
      <rPr>
        <b/>
        <sz val="10"/>
        <color theme="1"/>
        <rFont val="Calibri"/>
        <family val="2"/>
      </rPr>
      <t>‰</t>
    </r>
    <r>
      <rPr>
        <b/>
        <sz val="10"/>
        <color theme="1"/>
        <rFont val="Arial"/>
        <family val="2"/>
      </rPr>
      <t>), 2012</t>
    </r>
  </si>
  <si>
    <t>‰Pens, 2012</t>
  </si>
  <si>
    <t>‰SubDes, 2012</t>
  </si>
  <si>
    <t>EVOLUÇÃO DA PROPORÇÃO (%) DE NASCIMENTOS EM MULHERES COM IDADE INFERIOR A 20 ANOS, 1996-2012 (MÉDIA ANUAL POR TRIÉNIOS)</t>
  </si>
  <si>
    <t>EVOLUÇÃO DA PROPORÇÃO (%) DE NASCIMENTOS EM MULHERES COM IDADE SUPERIOR OU IGUAL A 35 ANOS, 1996-2012 (MÉDIA ANUAL POR TRIÉNIOS)</t>
  </si>
  <si>
    <t>EVOLUÇÃO DO NÚMERO DE ÓBITOS, 1996-2012</t>
  </si>
  <si>
    <t>GMM, 2004</t>
  </si>
  <si>
    <t>PCpc, 1993</t>
  </si>
  <si>
    <t>PCpc, 2000</t>
  </si>
  <si>
    <t>Beneficiários do subsídio de desemprego da SS por 1000 habitantes em idade ativa (15+ anos)</t>
  </si>
  <si>
    <t>Sem Escola, 2011</t>
  </si>
  <si>
    <r>
      <t xml:space="preserve">Proporção de inscritos (%) com diagnóstico ativo </t>
    </r>
    <r>
      <rPr>
        <sz val="8"/>
        <color theme="1" tint="0.34998626667073579"/>
        <rFont val="Arial"/>
        <family val="2"/>
      </rPr>
      <t>(Determinantes de Saúde - registo nos Cuidados de Saúde Primários)</t>
    </r>
  </si>
  <si>
    <r>
      <t>Proporção de inscritos (%) com diagnóstico ativo</t>
    </r>
    <r>
      <rPr>
        <sz val="8"/>
        <color theme="1" tint="0.34998626667073579"/>
        <rFont val="Arial"/>
        <family val="2"/>
      </rPr>
      <t xml:space="preserve"> (Morbilidade - registo nos Cuidados de Saúde Primários)</t>
    </r>
  </si>
  <si>
    <t>Taxa de incidência de sida</t>
  </si>
  <si>
    <t>Taxa de incidência da infeção VIH</t>
  </si>
  <si>
    <t>Taxa de incidência de tuberculose</t>
  </si>
  <si>
    <r>
      <t xml:space="preserve">Abuso do tabaco </t>
    </r>
    <r>
      <rPr>
        <sz val="7"/>
        <color theme="1" tint="0.34998626667073579"/>
        <rFont val="Arial"/>
        <family val="2"/>
      </rPr>
      <t>(P17)</t>
    </r>
  </si>
  <si>
    <r>
      <t xml:space="preserve">Excesso de peso </t>
    </r>
    <r>
      <rPr>
        <sz val="7"/>
        <color theme="1" tint="0.34998626667073579"/>
        <rFont val="Arial"/>
        <family val="2"/>
      </rPr>
      <t>(T83)</t>
    </r>
  </si>
  <si>
    <r>
      <t xml:space="preserve">Abuso crónico do álcool </t>
    </r>
    <r>
      <rPr>
        <sz val="7"/>
        <color theme="1" tint="0.34998626667073579"/>
        <rFont val="Arial"/>
        <family val="2"/>
      </rPr>
      <t>(P15)</t>
    </r>
  </si>
  <si>
    <t>Desempregados inscritos no IEFP por 1000 habitantes em idade ativa (15+ anos)</t>
  </si>
  <si>
    <t>DESEMPREGADOS INSCRITOS NO IEFP POR 1000 HABITANTES EM IDADE ACTIVA (15+ ANOS), JUNHO 2013</t>
  </si>
  <si>
    <t>EVOLUÇÃO DA PROPORÇÃO (%) DE NASCIMENTOS EM MULHERES COM IDADE INFERIOR A 20 ANOS (01-03, 04-06, 07-09, 10-12) (MÉDIA ANUAL POR TRIÉNIO)</t>
  </si>
  <si>
    <t>INDICADORES DE SUPORTE SOCIAL, 2012</t>
  </si>
  <si>
    <t>Número de beneficiários</t>
  </si>
  <si>
    <r>
      <t>Proporção da população (</t>
    </r>
    <r>
      <rPr>
        <sz val="9"/>
        <color theme="1" tint="0.249977111117893"/>
        <rFont val="Calibri"/>
        <family val="2"/>
      </rPr>
      <t>‰,</t>
    </r>
    <r>
      <rPr>
        <sz val="9"/>
        <color theme="1" tint="0.249977111117893"/>
        <rFont val="Arial"/>
        <family val="2"/>
      </rPr>
      <t xml:space="preserve"> 15+ anos)</t>
    </r>
  </si>
  <si>
    <t>Número de pensionistas</t>
  </si>
  <si>
    <t>Proporção da população (‰, 15+ anos)</t>
  </si>
  <si>
    <t>Valor médio anual (€)</t>
  </si>
  <si>
    <t>População residente sem nível de escolaridade completo</t>
  </si>
  <si>
    <t>Desempregados inscritos no IEFP / 1000 habitantes (15+ anos)</t>
  </si>
  <si>
    <t>DISTRIBUIÇÃO (%) DA POPULAÇÃO RESIDENTE POR NÍVEL DE ESCOLARIDADE MAIS ELEVADO COMPLETO (CENSOS 2001 E 2011)</t>
  </si>
  <si>
    <t>Para a visualização e identificação mais rápida das diferenças testadas foi utilizada uma sinalética próxima dos semáforos, cujo significado se explica a seguir:</t>
  </si>
  <si>
    <t>População servida (%) por</t>
  </si>
  <si>
    <t>EVOLUÇÃO DA PROPORÇÃO (%) DE NASCIMENTOS EM MULHERES COM IDADE IGUAL OU SUPERIOR A 35 ANOS (01-03, 04-06, 07-09, 10-12) (MÉDIA ANUAL POR TRIÉNIO)</t>
  </si>
  <si>
    <t>SSA - Sinais, Sintomas e Achados</t>
  </si>
  <si>
    <t>A probabilidade de morrer aumenta com a idade, pelo que se usa a taxa de mortalidade padronizada pela idade (TMP) para retirar (ou atenuar) esse efeito e obter um valor único que permita a comparação de diferentes populações com estruturas etárias distintas.  Foram calculadas as TMP médias anuais por triénios usando a população padrão europeia com grupos etários quinquenais. Foi ainda realizado um teste de hipóteses à diferença dos valores esperados das TMP que permite observar se existem diferenças estatisticamente significativas nas populações em estudo. Este teste foi realizado a dois níveis: no primeiro, comparam-se os valores das TMP do Continente com os da ARS; no segundo, comparam-se os valores das TMP da ARS com os do respetivo ACeS/ULS.</t>
  </si>
  <si>
    <t>DPOC (R95)</t>
  </si>
  <si>
    <t>Os Perfis Locais de Saúde foram desenvolvidos no âmbito dos Observatórios Regionais de Saúde dos Departamentos de Saúde Pública das cinco Administrações Regionais de Saúde de Portugal Continental, tendo como base a infra-estrutura tecnológica e o Modelo criados pela ARS Norte, I.P..</t>
  </si>
  <si>
    <t>Pode aceder aos restantes Perfis Locais de Saúde em versão interativa, ao Perfil de Saúde da Região e a outra informação de saúde no portal da ARS:</t>
  </si>
  <si>
    <t>Rendimento Social de Inserção [a.]</t>
  </si>
  <si>
    <t>Pensionistas da Segurança Social  [a.]</t>
  </si>
  <si>
    <t>Subsídios de Desemprego da Segurança Social  [b.]</t>
  </si>
  <si>
    <t>Ambiente - Saneamento Básico</t>
  </si>
  <si>
    <t>INDICADORES DE SANEAMENTO BÁSICO, 2009 *</t>
  </si>
  <si>
    <t>Sistemas públicos de abastecimento de água</t>
  </si>
  <si>
    <t>Sistemas de drenagem de águas residuais</t>
  </si>
  <si>
    <t>Estações de tratamento de águas residuais (ETAR)</t>
  </si>
  <si>
    <r>
      <rPr>
        <i/>
        <sz val="7"/>
        <color theme="1" tint="0.499984740745262"/>
        <rFont val="Arial"/>
        <family val="2"/>
      </rPr>
      <t>Fonte</t>
    </r>
    <r>
      <rPr>
        <sz val="7"/>
        <color theme="1" tint="0.499984740745262"/>
        <rFont val="Arial"/>
        <family val="2"/>
      </rPr>
      <t>: Observatórios Regionais de Saúde (dados: SIARS)</t>
    </r>
  </si>
  <si>
    <t>nv - vados vivos  ;  fm - fetos mortos</t>
  </si>
  <si>
    <r>
      <t>Taxa de mortalidade infantil</t>
    </r>
    <r>
      <rPr>
        <sz val="10"/>
        <color theme="1" tint="0.499984740745262"/>
        <rFont val="Arial"/>
        <family val="2"/>
      </rPr>
      <t xml:space="preserve"> </t>
    </r>
    <r>
      <rPr>
        <sz val="8"/>
        <color theme="1" tint="0.499984740745262"/>
        <rFont val="Arial"/>
        <family val="2"/>
      </rPr>
      <t>(/1000 nv)</t>
    </r>
  </si>
  <si>
    <r>
      <t xml:space="preserve">Taxa de mortalidade neonatal </t>
    </r>
    <r>
      <rPr>
        <sz val="8"/>
        <color theme="1" tint="0.499984740745262"/>
        <rFont val="Arial"/>
        <family val="2"/>
      </rPr>
      <t>(/1000 nv)</t>
    </r>
  </si>
  <si>
    <r>
      <t xml:space="preserve">Taxa de mortalidade neonatal precoce </t>
    </r>
    <r>
      <rPr>
        <sz val="8"/>
        <color theme="1" tint="0.499984740745262"/>
        <rFont val="Arial"/>
        <family val="2"/>
      </rPr>
      <t>(/1000 nv)</t>
    </r>
  </si>
  <si>
    <r>
      <t xml:space="preserve">Taxa de mortalidade pós-neonatal </t>
    </r>
    <r>
      <rPr>
        <sz val="8"/>
        <color theme="1" tint="0.499984740745262"/>
        <rFont val="Arial"/>
        <family val="2"/>
      </rPr>
      <t>(/1000 nv)</t>
    </r>
  </si>
  <si>
    <r>
      <t>Taxa de mortalidade fetal tardia</t>
    </r>
    <r>
      <rPr>
        <sz val="8"/>
        <color theme="1" tint="0.499984740745262"/>
        <rFont val="Arial"/>
        <family val="2"/>
      </rPr>
      <t xml:space="preserve"> (/1000 nv + fm)</t>
    </r>
  </si>
  <si>
    <r>
      <t xml:space="preserve">Taxa de mortalidade perinatal </t>
    </r>
    <r>
      <rPr>
        <sz val="8"/>
        <color theme="1" tint="0.499984740745262"/>
        <rFont val="Arial"/>
        <family val="2"/>
      </rPr>
      <t>(/1000 nv + fm)</t>
    </r>
  </si>
  <si>
    <t>Os gráficos em baixo mostram, para cada indicador, como a área de influência do ACeS/ULS se compara com o Continente, a área de influência da respetiva ARS e a dos restantes ACeS/ULS do Continente.</t>
  </si>
  <si>
    <t>NA - Não aplicável</t>
  </si>
  <si>
    <t>Grupo Estratégico</t>
  </si>
  <si>
    <t>Grupo Operativo</t>
  </si>
  <si>
    <t>ACeS</t>
  </si>
  <si>
    <t>Perfil Local de Saúde 2014</t>
  </si>
  <si>
    <r>
      <t xml:space="preserve">Ana Cristina Guerreiro </t>
    </r>
    <r>
      <rPr>
        <i/>
        <sz val="8"/>
        <color theme="1" tint="0.499984740745262"/>
        <rFont val="Arial"/>
        <family val="2"/>
      </rPr>
      <t>(ARS Algarve)</t>
    </r>
  </si>
  <si>
    <r>
      <t xml:space="preserve">Ana Dinis </t>
    </r>
    <r>
      <rPr>
        <i/>
        <sz val="8"/>
        <color theme="1" tint="0.499984740745262"/>
        <rFont val="Arial"/>
        <family val="2"/>
      </rPr>
      <t>(ARS Lisboa e Vale do Tejo)</t>
    </r>
  </si>
  <si>
    <r>
      <t xml:space="preserve">Carolina Teixeira </t>
    </r>
    <r>
      <rPr>
        <i/>
        <sz val="8"/>
        <color theme="1" tint="0.499984740745262"/>
        <rFont val="Arial"/>
        <family val="2"/>
      </rPr>
      <t>(ARS Norte)</t>
    </r>
  </si>
  <si>
    <r>
      <t xml:space="preserve">Elsa Soares </t>
    </r>
    <r>
      <rPr>
        <i/>
        <sz val="8"/>
        <color theme="1" tint="0.499984740745262"/>
        <rFont val="Arial"/>
        <family val="2"/>
      </rPr>
      <t>(ARS Lisboa e Vale do Tejo)</t>
    </r>
  </si>
  <si>
    <r>
      <t xml:space="preserve">Eugénio Cordeiro </t>
    </r>
    <r>
      <rPr>
        <i/>
        <sz val="8"/>
        <color theme="1" tint="0.499984740745262"/>
        <rFont val="Arial"/>
        <family val="2"/>
      </rPr>
      <t>(ARS Centro)</t>
    </r>
  </si>
  <si>
    <r>
      <t xml:space="preserve">Filomena Araújo </t>
    </r>
    <r>
      <rPr>
        <i/>
        <sz val="8"/>
        <color theme="1" tint="0.499984740745262"/>
        <rFont val="Arial"/>
        <family val="2"/>
      </rPr>
      <t>(ARS Alentejo)</t>
    </r>
  </si>
  <si>
    <r>
      <t xml:space="preserve">João Pedro Pimentel </t>
    </r>
    <r>
      <rPr>
        <i/>
        <sz val="8"/>
        <color theme="1" tint="0.499984740745262"/>
        <rFont val="Arial"/>
        <family val="2"/>
      </rPr>
      <t>(ARS Centro)</t>
    </r>
  </si>
  <si>
    <r>
      <t xml:space="preserve">Joaquim Bodião </t>
    </r>
    <r>
      <rPr>
        <i/>
        <sz val="8"/>
        <color theme="1" tint="0.499984740745262"/>
        <rFont val="Arial"/>
        <family val="2"/>
      </rPr>
      <t>(ARS Algarve)</t>
    </r>
  </si>
  <si>
    <r>
      <t xml:space="preserve">Leonor Murjal </t>
    </r>
    <r>
      <rPr>
        <i/>
        <sz val="8"/>
        <color theme="1" tint="0.499984740745262"/>
        <rFont val="Arial"/>
        <family val="2"/>
      </rPr>
      <t>(ARS Alentejo)</t>
    </r>
  </si>
  <si>
    <r>
      <t xml:space="preserve">Maria Adelaide Coelho </t>
    </r>
    <r>
      <rPr>
        <i/>
        <sz val="8"/>
        <color theme="1" tint="0.499984740745262"/>
        <rFont val="Arial"/>
        <family val="2"/>
      </rPr>
      <t>(ARS Lisboa e Vale do Tejo)</t>
    </r>
  </si>
  <si>
    <r>
      <t xml:space="preserve">Maria Neto </t>
    </r>
    <r>
      <rPr>
        <i/>
        <sz val="8"/>
        <color theme="1" tint="0.499984740745262"/>
        <rFont val="Arial"/>
        <family val="2"/>
      </rPr>
      <t>(ARS Norte)</t>
    </r>
  </si>
  <si>
    <r>
      <t xml:space="preserve">Paula Valente </t>
    </r>
    <r>
      <rPr>
        <i/>
        <sz val="8"/>
        <color theme="1" tint="0.499984740745262"/>
        <rFont val="Arial"/>
        <family val="2"/>
      </rPr>
      <t>(ARS Alentejo)</t>
    </r>
  </si>
  <si>
    <r>
      <t xml:space="preserve">Teresa Pereira </t>
    </r>
    <r>
      <rPr>
        <i/>
        <sz val="8"/>
        <color theme="1" tint="0.499984740745262"/>
        <rFont val="Arial"/>
        <family val="2"/>
      </rPr>
      <t>(ARS Algarve)</t>
    </r>
  </si>
  <si>
    <r>
      <t xml:space="preserve">Vasco Machado </t>
    </r>
    <r>
      <rPr>
        <i/>
        <sz val="8"/>
        <color theme="1" tint="0.499984740745262"/>
        <rFont val="Arial"/>
        <family val="2"/>
      </rPr>
      <t>(ARS Norte)</t>
    </r>
  </si>
  <si>
    <r>
      <t xml:space="preserve">Alexandra Monteiro </t>
    </r>
    <r>
      <rPr>
        <i/>
        <sz val="8"/>
        <color theme="1" tint="0.499984740745262"/>
        <rFont val="Arial"/>
        <family val="2"/>
      </rPr>
      <t>(ARS Algarve)</t>
    </r>
  </si>
  <si>
    <r>
      <t xml:space="preserve">Ana Mendes </t>
    </r>
    <r>
      <rPr>
        <i/>
        <sz val="8"/>
        <color theme="1" tint="0.499984740745262"/>
        <rFont val="Arial"/>
        <family val="2"/>
      </rPr>
      <t>(ARS Alentejo)</t>
    </r>
  </si>
  <si>
    <r>
      <t xml:space="preserve">Carla Lacerda Rascôa </t>
    </r>
    <r>
      <rPr>
        <i/>
        <sz val="8"/>
        <color theme="1" tint="0.499984740745262"/>
        <rFont val="Arial"/>
        <family val="2"/>
      </rPr>
      <t>(ARS Lisboa e Vale do Tejo)</t>
    </r>
  </si>
  <si>
    <r>
      <t xml:space="preserve">Eleonora Paixão </t>
    </r>
    <r>
      <rPr>
        <i/>
        <sz val="8"/>
        <color theme="1" tint="0.499984740745262"/>
        <rFont val="Arial"/>
        <family val="2"/>
      </rPr>
      <t>(ARS Alentejo)</t>
    </r>
  </si>
  <si>
    <r>
      <t xml:space="preserve">Emília Castilho </t>
    </r>
    <r>
      <rPr>
        <i/>
        <sz val="8"/>
        <color theme="1" tint="0.499984740745262"/>
        <rFont val="Arial"/>
        <family val="2"/>
      </rPr>
      <t>(ARS Algarve)</t>
    </r>
  </si>
  <si>
    <r>
      <t xml:space="preserve">Lígia Carvalho </t>
    </r>
    <r>
      <rPr>
        <i/>
        <sz val="8"/>
        <color theme="1" tint="0.499984740745262"/>
        <rFont val="Arial"/>
        <family val="2"/>
      </rPr>
      <t>(ARS Centro)</t>
    </r>
  </si>
  <si>
    <r>
      <t xml:space="preserve">Nélia Guerreiro </t>
    </r>
    <r>
      <rPr>
        <i/>
        <sz val="8"/>
        <color theme="1" tint="0.499984740745262"/>
        <rFont val="Arial"/>
        <family val="2"/>
      </rPr>
      <t>(ARS Algarve)</t>
    </r>
  </si>
  <si>
    <r>
      <t xml:space="preserve">Sandra Lourenço </t>
    </r>
    <r>
      <rPr>
        <i/>
        <sz val="8"/>
        <color theme="1" tint="0.499984740745262"/>
        <rFont val="Arial"/>
        <family val="2"/>
      </rPr>
      <t>(ARS Centro)</t>
    </r>
  </si>
  <si>
    <t>DA</t>
  </si>
  <si>
    <r>
      <rPr>
        <i/>
        <sz val="7"/>
        <color theme="1" tint="0.499984740745262"/>
        <rFont val="Arial"/>
        <family val="2"/>
      </rPr>
      <t>Fonte</t>
    </r>
    <r>
      <rPr>
        <sz val="7"/>
        <color theme="1" tint="0.499984740745262"/>
        <rFont val="Arial"/>
        <family val="2"/>
      </rPr>
      <t>: Instituto Nacional de Estatística , I.P. - Portugal</t>
    </r>
  </si>
  <si>
    <t>--- : Não aplicável</t>
  </si>
  <si>
    <t>EVOLUÇÃO DA TAXA DE NOTIFICAÇÃO (/100000 HABITANTES) DE TUBERCULOSE, 2001-2012</t>
  </si>
  <si>
    <t>Pior valor ACeS/ULS do Continente</t>
  </si>
  <si>
    <t>Melhor valor ACeS/ULS do Continente</t>
  </si>
  <si>
    <t>EVOLUÇÃO DA TAXA DE INCIDÊNCIA  (/100000 HABITANTES) DE TUBERCULOSE, 2000-2012</t>
  </si>
  <si>
    <r>
      <t>Taxa de mortalidade padronizada</t>
    </r>
    <r>
      <rPr>
        <sz val="9"/>
        <color theme="1" tint="0.34998626667073579"/>
        <rFont val="Arial"/>
        <family val="2"/>
      </rPr>
      <t xml:space="preserve"> pela idade (</t>
    </r>
    <r>
      <rPr>
        <b/>
        <sz val="9"/>
        <color theme="1" tint="0.34998626667073579"/>
        <rFont val="Arial"/>
        <family val="2"/>
      </rPr>
      <t>TMP</t>
    </r>
    <r>
      <rPr>
        <sz val="9"/>
        <color theme="1" tint="0.34998626667073579"/>
        <rFont val="Arial"/>
        <family val="2"/>
      </rPr>
      <t>) prematura (&lt;75 anos)</t>
    </r>
    <r>
      <rPr>
        <sz val="9"/>
        <color theme="3" tint="0.39997558519241921"/>
        <rFont val="Arial"/>
        <family val="2"/>
      </rPr>
      <t xml:space="preserve"> *</t>
    </r>
  </si>
  <si>
    <t>Taxa de condução com alcoolemia superior a 1,2 (/1000 habitantes)</t>
  </si>
  <si>
    <t>MortACeS</t>
  </si>
  <si>
    <t>ARS, I.P.</t>
  </si>
  <si>
    <t>Administração Regional de Saúde, Instituto Público</t>
  </si>
  <si>
    <t>Complexo Relacionado com Sida</t>
  </si>
  <si>
    <t>Direcção-Geral da Saúde</t>
  </si>
  <si>
    <t>DPOC</t>
  </si>
  <si>
    <t>Doença Pulmonar Obstrutiva Crónica</t>
  </si>
  <si>
    <t>FM</t>
  </si>
  <si>
    <t>Fetos Mortos</t>
  </si>
  <si>
    <t>ICPC-2</t>
  </si>
  <si>
    <t>Classificação Internacional de Cuidados Primários, 2.ª Edição - Diagnóstico Ativo (Morbilidade)</t>
  </si>
  <si>
    <t>IEFP, I.P.</t>
  </si>
  <si>
    <t>Instituto de Emprego e Formação Profissional, Instituto Público</t>
  </si>
  <si>
    <t>INE, I.P.</t>
  </si>
  <si>
    <t>Instituto Nacional de Estatística, Instituto Público</t>
  </si>
  <si>
    <t>Índice Sintético de Fecundidade</t>
  </si>
  <si>
    <t>NV</t>
  </si>
  <si>
    <t>Nados Vivos</t>
  </si>
  <si>
    <t>PORDATA</t>
  </si>
  <si>
    <t>Base de Dados Portugal Contemporâneo</t>
  </si>
  <si>
    <t>PSR</t>
  </si>
  <si>
    <t xml:space="preserve">Perfil de Saúde da Região </t>
  </si>
  <si>
    <t>Sem</t>
  </si>
  <si>
    <t>Semanas</t>
  </si>
  <si>
    <t>SIARS</t>
  </si>
  <si>
    <t>Sistema de Informação das ARS</t>
  </si>
  <si>
    <t>Sida</t>
  </si>
  <si>
    <t>SSA</t>
  </si>
  <si>
    <t>Sinais, Sintomas e Achados</t>
  </si>
  <si>
    <t xml:space="preserve"> INSA, I.P.</t>
  </si>
  <si>
    <t>Instituto Nacional de Saúde Dr. Ricardo Jorge, Instituto Público</t>
  </si>
  <si>
    <t>* Cada ARS é representada por uma cor que reproduz, fielmente, uma das cores do respectivo Logótipo.</t>
  </si>
  <si>
    <t>ENTRAR</t>
  </si>
  <si>
    <t>Índice sintético de fecundidade (ISF)</t>
  </si>
  <si>
    <t>Número médio de crianças vivas nascidas por mulher em idade fértil (dos 15 aos 49 anos de idade), admitindo que as mulheres estariam submetidas às taxas de fecundidade observadas no momento. Valor resultante da soma das taxas de fecundidade por idades, ano a ano ou grupos quinquenais, entre os 15 e os 49 anos, observadas num determinado período (habitualmente um ano civil). Nota: O número de 2,1 crianças por mulher é considerado o nível mínimo para assegurar a substituição de gerações, nos países mais desenvolvidos.</t>
  </si>
  <si>
    <t>Número médio de anos que uma pessoa à nascença pode esperar viver, mantendo-se as taxas de mortalidade por idades observadas no momento.</t>
  </si>
  <si>
    <t>(Número de pessoas com 65 ou mais anos /Número de pessoas com menos de 15 anos) x 100</t>
  </si>
  <si>
    <t>NÚMERO DE DESEMPREGADOS INSCRITOS NO INSTITUTO DE EMPREGO E FORMAÇÃO PROFISSIONAL (IEFP), VARIAÇÃO HOMÓLOGA E DESEMPREGADOS INSCRITOS POR 1000 HABITANTES DA POPULAÇÃO ATIVA (15+ ANOS)</t>
  </si>
  <si>
    <t>Percentagem de população empregada por sector de actividade económica</t>
  </si>
  <si>
    <t>(Nº de indivíduos empregados em determinado setor de atividade económica / Nº total de indivíduos empregados, numa determinada área geográfica e num determinado período de tempo) x 100</t>
  </si>
  <si>
    <t>Número de beneficiários do rendimento social de inserção da segurança social</t>
  </si>
  <si>
    <t>Beneficiários do rendimento social de inserção da segurança social /1000 habitantes da população ativa (15+ anos)</t>
  </si>
  <si>
    <t>Número de pensionistas da segurança social</t>
  </si>
  <si>
    <t>Pensionistas da segurança social /1000 habitantes da população ativa (15+ anos)</t>
  </si>
  <si>
    <t>Nº de pessoas que recebem a prestação denominada Rendimento Social de Inserção, incluída no subsistema de solidariedade e num programa de inserção, de modo a lhes conferir e aos seus agregados familiares, apoios adaptados à sua situação pessoal, que contribuam para a satisfação das suas necessidades essenciais e que favoreçam a progressiva inserção laboral, social e comunitária.</t>
  </si>
  <si>
    <t>(Nº de beneficiários do rendimento social de inserção da Segurança Social / População média ativa) x 1000</t>
  </si>
  <si>
    <t>Nº de titulares de uma prestação pecuniária nas eventualidades de: invalidez, velhice, doença profissional ou morte.</t>
  </si>
  <si>
    <t>(Nº de pensionistas da Segurança Social / População estimada ativa) x 1000</t>
  </si>
  <si>
    <t>Variação homóloga do nº de desempregados inscritos no IEFP</t>
  </si>
  <si>
    <t>Variação percentual observada face ao período (mês ou trimestre) equivalente do ano anterior.</t>
  </si>
  <si>
    <t>(Nº de desempregados inscritos no IEFP / População média ativa) x 1000</t>
  </si>
  <si>
    <t>Número de beneficiários de subsídios de desemprego da segurança social</t>
  </si>
  <si>
    <t>Beneficiários de subsídios de desemprego da segurança social /1000 habitantes da população ativa (+15 anos)</t>
  </si>
  <si>
    <t>Nº total de beneficiários a quem foi concedido subsídio de desemprego e social de desemprego.</t>
  </si>
  <si>
    <t>(Nº de beneficiários de subsídio de desemprego da Segurança Social / População média ativa) x 1000</t>
  </si>
  <si>
    <t>Desempregados inscritos no IEFP /1000 habitantes da população ativa (15+ anos)</t>
  </si>
  <si>
    <t>Taxa de crimes contra a integridade física</t>
  </si>
  <si>
    <t>Taxa de condução com alcoolémia superior a 1,2</t>
  </si>
  <si>
    <t>Percentagem de população por nível de escolaridade mais elevado completo</t>
  </si>
  <si>
    <t>Taxa de abandono escolar</t>
  </si>
  <si>
    <t>Ganho médio mensal dos trabalhadores por conta de outrem</t>
  </si>
  <si>
    <t>Poder de Compra per capita</t>
  </si>
  <si>
    <t>População servida por abastecimento público de água (%)</t>
  </si>
  <si>
    <t>População servida por sistemas de drenagem de águas residuais (%)</t>
  </si>
  <si>
    <t>População servida por estações de tratamento de águas residuais (ETAR) (%)</t>
  </si>
  <si>
    <t>(Nº total de crimes / População média residente) x 1000</t>
  </si>
  <si>
    <t>(Nº total de crimes contra a integridade física / População média residente) x 1000</t>
  </si>
  <si>
    <t>(Nº total de crimes por condução de veículo com taxa de alcoolemia superior a 1,2 g/l / População média residente) x 1000</t>
  </si>
  <si>
    <t>(Nº de indivíduos residentes, por cada um dos níveis de escolaridade mais elevada, completada / População média residente) x 100</t>
  </si>
  <si>
    <t>(População residente com idade entre 10 e 15 anos que abandonou a escola sem concluir o 9º ano / População residente com idade entre 10 e 15 anos) x 100</t>
  </si>
  <si>
    <t>(Valor global em euros, de montantes em dinheiro e em géneros a pagar pelos empregadores aos seus trabalhadores, como contrapartida do trabalho prestado / Nº de trabalhadores por conta de outrém)</t>
  </si>
  <si>
    <t xml:space="preserve">Pretende traduzir o poder de compra manifestado quotidianamente, em termos per-capita, nos diferentes municípios ou regiões, tendo por referência o valor nacional. </t>
  </si>
  <si>
    <t>(População servida por sistemas de abastecimento de água / População média anual residente) x 100</t>
  </si>
  <si>
    <t>(População servida por sistemas de drenagem de águas residuais / População média anual residente) x 100</t>
  </si>
  <si>
    <t>(População servida por estações de tratamento de águas residuais / População média anual residente) x 100</t>
  </si>
  <si>
    <t>Proporção (%) de nascimentos em mulheres com idade inferior a 20 anos</t>
  </si>
  <si>
    <t>Proporção (%) de nascimentos em mulheres com idade superior ou igual a 35 anos</t>
  </si>
  <si>
    <t>Determinantes nos CSP (tabaco, álcool, abuso de drogas, excesso de peso)</t>
  </si>
  <si>
    <t xml:space="preserve">(Nº de nados vivos em mulheres com idade &lt; 20 anos / Nº total de nados vivos) x 100 </t>
  </si>
  <si>
    <t xml:space="preserve">(Nº de nados vivos em mulheres com idade ≥ 35 anos / Nº total de nados vivos) x 100 </t>
  </si>
  <si>
    <t>Nº de utentes com diagnóstico ativo na lista de problemas, de acordo com a classificação ICPC-2 / Nº total de utentes com inscrição activa no ACeS(Região) na data de referência do indicador) x 100</t>
  </si>
  <si>
    <t>Proporção (%) de nascimentos pré-termo</t>
  </si>
  <si>
    <t>Proporção (%) de crianças com baixo peso à nascença</t>
  </si>
  <si>
    <t>Taxa de mortalidade neonatal precoce</t>
  </si>
  <si>
    <t>Taxa de mortalidade pós neonatal</t>
  </si>
  <si>
    <t>Taxa de mortalidade fetal tardia</t>
  </si>
  <si>
    <t>Mortalidade proporcional por grandes grupos de causas de morte para todas as idades e ambos os sexos</t>
  </si>
  <si>
    <t>Mortalidade proporcional por grandes grupos de causas de morte para as idades &lt; 75 anos e ambos os sexos</t>
  </si>
  <si>
    <t>Mortalidade proporcional por grandes grupos de causas de morte por ciclo de vida, ambos os sexos</t>
  </si>
  <si>
    <t>Taxa de mortalidade padronizada por causas de morte, &lt;75 anos</t>
  </si>
  <si>
    <t>Taxa de incidência da infecção VIH</t>
  </si>
  <si>
    <t>Taxa de notificação de tuberculose</t>
  </si>
  <si>
    <t>(Nº de nados vivos de gestações com menos de 37 semanas / Nº total de nados vivos, numa determinada área geográfica e num determinado período de tempo) x 100</t>
  </si>
  <si>
    <t>(Nº de nados vivos com peso ao nascer inferior a 2.500 gramas / Nº total de nados vivos, numa determinada área geográfica e num determinado período de tempo) x 100</t>
  </si>
  <si>
    <t>(Nº total de óbitos / População média residente numa determinada área geográfica, num determinado período de tempo) x 1000</t>
  </si>
  <si>
    <t>(Nº total de óbitos de crianças com menos de um ano de idade / Nº de nados vivos) x 1000</t>
  </si>
  <si>
    <t>(Nº de óbitos de crianças com menos de 28 dias de idade / Nº de nados vivos ) x 1000</t>
  </si>
  <si>
    <t>(Nº de óbitos de crianças com menos de 7 dias de vida / Nº de nados vivos ) x 1000</t>
  </si>
  <si>
    <t>(Nº de óbitos de crianças com mais de 28 dias e menos de um ano de idade / Nº de nados vivos ) x 1000</t>
  </si>
  <si>
    <t>(Nº de fetos mortos com mais de 28 semanas / Nº de nados vivos e fetos mortos de 28 ou mais semanas numa determinada área geográfica e num determinado período de tempo) x 1000</t>
  </si>
  <si>
    <t>(Nº de fetos mortos de 28 ou mais semanas de gestação e nº de óbitos de nados vivos com menos de 7 dias de idade / Nº de nados vivos e fetos mortos de 28 ou mais semanas, numa determinada área geográfica e num determinado período de tempo) x 1000</t>
  </si>
  <si>
    <t>(Nº de óbitos por grandes causas / Nº total de óbitos, numa determinada área geográfica e num determinado período de tempo) x 100</t>
  </si>
  <si>
    <t>(Nº de óbitos por grandes causas de morte em indivíduos com menos de 75 anos / Nº total de óbitos em indivíduos com menos de 75 anos, numa determinada área geográfica e num determinado período de tempo ) x 100</t>
  </si>
  <si>
    <t>(Nº de óbitos por grandes causas de morte por fases do ciclo de vida / Nº total de óbitos, numa determinada área geográfica e num determinado período de tempo ) x 100</t>
  </si>
  <si>
    <t>Valor que permite a comparação de mortalidade por grupos de causas de morte entre diferentes regiões, retirando o efeito que a variável idade tem sobre a mortalidade, num determinado período de tempo.</t>
  </si>
  <si>
    <t>Nº de utentes com diagnóstico ativo na lista de problemas, de acordo com a classificação ICPC-2 /Nº total de utentes com inscrição activa no ACeS(Região) na data de referência do indicador) x 100</t>
  </si>
  <si>
    <t xml:space="preserve">(Nº de novos casos confirmados de sida / População média residente) x 100 000 </t>
  </si>
  <si>
    <t xml:space="preserve">(Nº de novos casos de infeção por VIH / População média residente) x 100 000 </t>
  </si>
  <si>
    <t xml:space="preserve">(Nº de novos casos confirmados de tuberculose (todas as formas) / População média residente) x 100 000 </t>
  </si>
  <si>
    <t xml:space="preserve">(Nº de casos notificados de tuberculose (todas as formas) / População média residente) x 100 000 </t>
  </si>
  <si>
    <t>LISTA DE SIGLAS E ACRÓNIMOS</t>
  </si>
  <si>
    <t>Lista de Siglas e Acrónimos</t>
  </si>
  <si>
    <t>META INFORMAÇÃO</t>
  </si>
  <si>
    <r>
      <t xml:space="preserve">António Tavares </t>
    </r>
    <r>
      <rPr>
        <i/>
        <sz val="8"/>
        <color theme="1" tint="0.499984740745262"/>
        <rFont val="Arial"/>
        <family val="2"/>
      </rPr>
      <t>(ARS Lisboa e Vale do Tejo)</t>
    </r>
  </si>
  <si>
    <t>PROPORÇÃO DE INSCRITOS (%) POR DIAGNÓSTICO ATIVO, DEZEMBRO 2013 (ORDEM DECRESCENTE)</t>
  </si>
  <si>
    <t>PROPORÇÃO DE INSCRITOS (%) POR DIAGNÓSTICO ATIVO, DEZEMBRO 2013</t>
  </si>
  <si>
    <r>
      <t xml:space="preserve">Maria Neto, </t>
    </r>
    <r>
      <rPr>
        <sz val="8"/>
        <color theme="8" tint="-0.249977111117893"/>
        <rFont val="Arial"/>
        <family val="2"/>
      </rPr>
      <t>Diretora do Departamento de Saúde Pública da ARS Norte, I.P.</t>
    </r>
  </si>
  <si>
    <r>
      <t xml:space="preserve">João Pedro Pimentel, </t>
    </r>
    <r>
      <rPr>
        <sz val="8"/>
        <color theme="8" tint="-0.249977111117893"/>
        <rFont val="Arial"/>
        <family val="2"/>
      </rPr>
      <t xml:space="preserve"> Diretor do Departamento de Saúde Pública da ARS Centro, I.P.</t>
    </r>
  </si>
  <si>
    <r>
      <t xml:space="preserve">António Tavares, </t>
    </r>
    <r>
      <rPr>
        <sz val="8"/>
        <color theme="8" tint="-0.249977111117893"/>
        <rFont val="Arial"/>
        <family val="2"/>
      </rPr>
      <t xml:space="preserve"> Diretor do Departamento de Saúde Pública da ARS LVT, I.P.</t>
    </r>
  </si>
  <si>
    <r>
      <t xml:space="preserve">Filomena Oliveira Araújo, </t>
    </r>
    <r>
      <rPr>
        <sz val="8"/>
        <color theme="8" tint="-0.249977111117893"/>
        <rFont val="Arial"/>
        <family val="2"/>
      </rPr>
      <t xml:space="preserve"> Diretora do Departamento de Saúde Pública e Planeamento da ARS Alentejo, I.P.</t>
    </r>
  </si>
  <si>
    <r>
      <t xml:space="preserve">Ana Cristina Guerreiro, </t>
    </r>
    <r>
      <rPr>
        <sz val="8"/>
        <color theme="8" tint="-0.249977111117893"/>
        <rFont val="Arial"/>
        <family val="2"/>
      </rPr>
      <t xml:space="preserve"> Diretora do Departamento de Saúde Pública e Planeamento da ARS Algarve, I.P.</t>
    </r>
  </si>
  <si>
    <t>OBSERVAÇÃO: Os valores da esperança de vida para o Continente e Região, não correspondem exatamente aos produzidos pelo INE, obtidos pela nova metodologia, implementada em 2007, que utiliza tábuas completas oficiais de mortalidade. Os resultados aqui apresentados foram calculados pelo Departamento de Saúde Pública da ARS Norte, no âmbito do Observatórios Regionais de Saúde, com base em tábuas abreviadas de mortalidade.</t>
  </si>
  <si>
    <r>
      <t xml:space="preserve">O perfil de saúde constitui-se como um </t>
    </r>
    <r>
      <rPr>
        <b/>
        <sz val="11"/>
        <color theme="8" tint="-0.249977111117893"/>
        <rFont val="Arial"/>
        <family val="2"/>
      </rPr>
      <t>instrumento de apoio à tomada de decisão</t>
    </r>
    <r>
      <rPr>
        <sz val="10"/>
        <color theme="8" tint="-0.249977111117893"/>
        <rFont val="Arial"/>
        <family val="2"/>
      </rPr>
      <t xml:space="preserve"> técnica, politico/estratégica e organizacional, sendo uma ferramenta virada para a ação, no sentido da </t>
    </r>
    <r>
      <rPr>
        <b/>
        <sz val="11"/>
        <color theme="8" tint="-0.249977111117893"/>
        <rFont val="Arial"/>
        <family val="2"/>
      </rPr>
      <t>melhoria da saúde das populações</t>
    </r>
    <r>
      <rPr>
        <sz val="10"/>
        <color theme="8" tint="-0.249977111117893"/>
        <rFont val="Arial"/>
        <family val="2"/>
      </rPr>
      <t xml:space="preserve"> e </t>
    </r>
    <r>
      <rPr>
        <b/>
        <sz val="11"/>
        <color theme="8" tint="-0.249977111117893"/>
        <rFont val="Arial"/>
        <family val="2"/>
      </rPr>
      <t>redução das desigualdades em saúde</t>
    </r>
    <r>
      <rPr>
        <sz val="10"/>
        <color theme="8" tint="-0.249977111117893"/>
        <rFont val="Arial"/>
        <family val="2"/>
      </rPr>
      <t>. Baseia-se na melhor evidência disponível e assenta em critérios de qualidade que lhe conferem rigor e robustez.</t>
    </r>
  </si>
  <si>
    <t>Os indicadores que o integram são criteriosamente escolhidos de modo a refletir os problemas de saúde pública consideradas mais pertinentes à data, sendo, portanto, a sua seleção e construção um processo vivo, dinâmico, participado e consensualizado.</t>
  </si>
  <si>
    <r>
      <t xml:space="preserve">No âmbito dos Observatórios Regionais de Saúde, e numa ótica de partilha, criação de sinergias, rentabilização dos recursos e da massa crítica existentes, e de alinhamento entre as cinco Administrações Regionais de Saúde (ARS) na consecução de objetivos comuns, os Diretores dos Departamentos de Saúde Pública , com o apoio dos Conselhos Diretivos das respetivas ARS, consensualizaram, em 2012, a criação de um Grupo de Trabalho Estratégico e de um Grupo de Trabalho Operativo, com profissionais dos Departamentos de Saúde Pública, de diferentes disciplinas do saber, com o </t>
    </r>
    <r>
      <rPr>
        <b/>
        <sz val="11"/>
        <color theme="8" tint="-0.249977111117893"/>
        <rFont val="Arial"/>
        <family val="2"/>
      </rPr>
      <t>objetivo de elaborar documentos e ferramentas de apoio à decisão em saúde totalmente harmonizados</t>
    </r>
    <r>
      <rPr>
        <sz val="10"/>
        <color theme="8" tint="-0.249977111117893"/>
        <rFont val="Arial"/>
        <family val="2"/>
      </rPr>
      <t>.</t>
    </r>
  </si>
  <si>
    <t>O trabalho que a seguir se divulga, assente nesta metodologia simultaneamente histórica e inovadora, é o resultado desta concertação e esforço coletivo, num espírito de Missão, de Desígnio e Unidade Nacional, que, simbolicamente, se representam através do Mapa de Portugal com as cinco ARS agregadas como um todo, embora mantendo a sua identidade institucional, refletida na cor atribuída a cada uma.*</t>
  </si>
  <si>
    <t>... : Segredo estatístico (informação não disponibilizada)</t>
  </si>
  <si>
    <t>NA : Não Aplicável</t>
  </si>
  <si>
    <r>
      <t xml:space="preserve">Devido a problemas metodológicos relacionados com a garantia do Segredo Estatístico, </t>
    </r>
    <r>
      <rPr>
        <b/>
        <sz val="10"/>
        <color theme="1" tint="0.249977111117893"/>
        <rFont val="Arial"/>
        <family val="2"/>
      </rPr>
      <t>não foi possível</t>
    </r>
    <r>
      <rPr>
        <sz val="10"/>
        <color theme="1" tint="0.249977111117893"/>
        <rFont val="Arial"/>
        <family val="2"/>
      </rPr>
      <t xml:space="preserve"> ao Instituto Nacional de Estatística, ao abrigo do protocolo celebrado com as cinco Administrações Regionais de Saúde, I.P. (ARS), em 16 de Novembro de 2012, </t>
    </r>
    <r>
      <rPr>
        <b/>
        <sz val="10"/>
        <color theme="1" tint="0.249977111117893"/>
        <rFont val="Arial"/>
        <family val="2"/>
      </rPr>
      <t>disponibilizar os dados de mortalidade para todas as causas</t>
    </r>
    <r>
      <rPr>
        <sz val="10"/>
        <color theme="1" tint="0.249977111117893"/>
        <rFont val="Arial"/>
        <family val="2"/>
      </rPr>
      <t>, pelo que se apresentam os dados relativos às causas de morte com informação disponibilizada.</t>
    </r>
  </si>
  <si>
    <r>
      <t xml:space="preserve">* Devido a problemas metodológicos relacionados com a garantia do Segredo Estatístico, </t>
    </r>
    <r>
      <rPr>
        <b/>
        <sz val="8"/>
        <color theme="3" tint="0.39997558519241921"/>
        <rFont val="Arial"/>
        <family val="2"/>
      </rPr>
      <t>não foi possível</t>
    </r>
    <r>
      <rPr>
        <sz val="8"/>
        <color theme="3" tint="0.39997558519241921"/>
        <rFont val="Arial"/>
        <family val="2"/>
      </rPr>
      <t xml:space="preserve"> ao Instituto Nacional de Estatística, ao abrigo do protocolo celebrado com as cinco Administrações Regionais de Saúde, I.P. (ARS), em 16 de Novembro de 2012, </t>
    </r>
    <r>
      <rPr>
        <b/>
        <sz val="8"/>
        <color theme="3" tint="0.39997558519241921"/>
        <rFont val="Arial"/>
        <family val="2"/>
      </rPr>
      <t>disponibilizar os dados de mortalidade para todas as causas</t>
    </r>
    <r>
      <rPr>
        <sz val="8"/>
        <color theme="3" tint="0.39997558519241921"/>
        <rFont val="Arial"/>
        <family val="2"/>
      </rPr>
      <t>. Face a este constrangimento, a análise realizada contempla apenas, para cada causa de morte, os ACeS/ULS em que a informação foi disponibilizada.</t>
    </r>
  </si>
  <si>
    <t>Portugal, 16 de junho de 2014</t>
  </si>
  <si>
    <r>
      <t xml:space="preserve">Manuela Mendonça Felício </t>
    </r>
    <r>
      <rPr>
        <i/>
        <sz val="8"/>
        <color theme="1" tint="0.499984740745262"/>
        <rFont val="Arial"/>
        <family val="2"/>
      </rPr>
      <t>(ARS Norte)</t>
    </r>
  </si>
  <si>
    <r>
      <rPr>
        <i/>
        <sz val="7"/>
        <color theme="1" tint="0.499984740745262"/>
        <rFont val="Arial"/>
        <family val="2"/>
      </rPr>
      <t>Fonte</t>
    </r>
    <r>
      <rPr>
        <sz val="7"/>
        <color theme="1" tint="0.499984740745262"/>
        <rFont val="Arial"/>
        <family val="2"/>
      </rPr>
      <t>: Observatórios Regionais de Saúde (dados: INE, IP)</t>
    </r>
  </si>
  <si>
    <r>
      <rPr>
        <i/>
        <sz val="7"/>
        <color theme="1" tint="0.499984740745262"/>
        <rFont val="Arial"/>
        <family val="2"/>
      </rPr>
      <t>Fonte</t>
    </r>
    <r>
      <rPr>
        <sz val="7"/>
        <color theme="1" tint="0.499984740745262"/>
        <rFont val="Arial"/>
        <family val="2"/>
      </rPr>
      <t>: Observatórios Regionais de Saúde (dados: SVIG-TB, DGS)</t>
    </r>
  </si>
  <si>
    <r>
      <rPr>
        <i/>
        <sz val="7"/>
        <color theme="1" tint="0.499984740745262"/>
        <rFont val="Arial"/>
        <family val="2"/>
      </rPr>
      <t>Fonte</t>
    </r>
    <r>
      <rPr>
        <sz val="7"/>
        <color theme="1" tint="0.499984740745262"/>
        <rFont val="Arial"/>
        <family val="2"/>
      </rPr>
      <t>: Observatórios Regionais de Saúde (dados: DDI-URVE/INSA, IP)</t>
    </r>
  </si>
  <si>
    <r>
      <t>Fonte</t>
    </r>
    <r>
      <rPr>
        <sz val="7"/>
        <color theme="1" tint="0.499984740745262"/>
        <rFont val="Arial"/>
        <family val="2"/>
      </rPr>
      <t>: Observatórios Regionais de Saúde (dados: INE, IP)</t>
    </r>
  </si>
  <si>
    <r>
      <rPr>
        <i/>
        <sz val="7"/>
        <color theme="1" tint="0.499984740745262"/>
        <rFont val="Arial"/>
        <family val="2"/>
      </rPr>
      <t>Fonte</t>
    </r>
    <r>
      <rPr>
        <sz val="7"/>
        <color theme="1" tint="0.499984740745262"/>
        <rFont val="Arial"/>
        <family val="2"/>
      </rPr>
      <t>: Observatórios Regionais de Saúde (dados: IEFP, IP)</t>
    </r>
  </si>
  <si>
    <r>
      <rPr>
        <i/>
        <sz val="7"/>
        <color theme="1" tint="0.499984740745262"/>
        <rFont val="Arial"/>
        <family val="2"/>
      </rPr>
      <t>Fonte</t>
    </r>
    <r>
      <rPr>
        <sz val="7"/>
        <color theme="1" tint="0.499984740745262"/>
        <rFont val="Arial"/>
        <family val="2"/>
      </rPr>
      <t>: Observatórios Regionais de Saúde (dados: a. INE, IP; b. PORDATA)</t>
    </r>
  </si>
  <si>
    <r>
      <rPr>
        <i/>
        <sz val="7"/>
        <color theme="1" tint="0.499984740745262"/>
        <rFont val="Arial"/>
        <family val="2"/>
      </rPr>
      <t>Fonte</t>
    </r>
    <r>
      <rPr>
        <sz val="7"/>
        <color theme="1" tint="0.499984740745262"/>
        <rFont val="Arial"/>
        <family val="2"/>
      </rPr>
      <t>: Observatórios Regionais de Saúde (dados: INE, iP)</t>
    </r>
  </si>
</sst>
</file>

<file path=xl/styles.xml><?xml version="1.0" encoding="utf-8"?>
<styleSheet xmlns="http://schemas.openxmlformats.org/spreadsheetml/2006/main">
  <numFmts count="3">
    <numFmt numFmtId="164" formatCode="#,##0.0"/>
    <numFmt numFmtId="165" formatCode="0.0"/>
    <numFmt numFmtId="166" formatCode="0.0000000"/>
  </numFmts>
  <fonts count="123">
    <font>
      <sz val="11"/>
      <color theme="1"/>
      <name val="Calibri"/>
      <family val="2"/>
      <scheme val="minor"/>
    </font>
    <font>
      <u/>
      <sz val="11"/>
      <color theme="10"/>
      <name val="Calibri"/>
      <family val="2"/>
    </font>
    <font>
      <sz val="9"/>
      <name val="Arial"/>
      <family val="2"/>
    </font>
    <font>
      <sz val="10"/>
      <color theme="1" tint="0.14999847407452621"/>
      <name val="Arial"/>
      <family val="2"/>
    </font>
    <font>
      <sz val="8"/>
      <color theme="0" tint="-0.499984740745262"/>
      <name val="Arial"/>
      <family val="2"/>
    </font>
    <font>
      <b/>
      <sz val="12"/>
      <color theme="3" tint="0.39997558519241921"/>
      <name val="Arial"/>
      <family val="2"/>
    </font>
    <font>
      <sz val="11"/>
      <color theme="1"/>
      <name val="Arial"/>
      <family val="2"/>
    </font>
    <font>
      <sz val="10"/>
      <color theme="1"/>
      <name val="Arial"/>
      <family val="2"/>
    </font>
    <font>
      <b/>
      <sz val="10"/>
      <color theme="1"/>
      <name val="Arial"/>
      <family val="2"/>
    </font>
    <font>
      <b/>
      <sz val="12"/>
      <color theme="1"/>
      <name val="Arial"/>
      <family val="2"/>
    </font>
    <font>
      <u/>
      <sz val="11"/>
      <color rgb="FF008080"/>
      <name val="Arial"/>
      <family val="2"/>
    </font>
    <font>
      <b/>
      <sz val="12"/>
      <color indexed="21"/>
      <name val="Arial"/>
      <family val="2"/>
    </font>
    <font>
      <sz val="10"/>
      <color indexed="21"/>
      <name val="Arial"/>
      <family val="2"/>
    </font>
    <font>
      <b/>
      <sz val="11"/>
      <color indexed="9"/>
      <name val="Arial"/>
      <family val="2"/>
    </font>
    <font>
      <sz val="11"/>
      <color theme="1" tint="4.9989318521683403E-2"/>
      <name val="Arial"/>
      <family val="2"/>
    </font>
    <font>
      <sz val="10"/>
      <color theme="1" tint="4.9989318521683403E-2"/>
      <name val="Arial"/>
      <family val="2"/>
    </font>
    <font>
      <b/>
      <sz val="11"/>
      <color rgb="FF008080"/>
      <name val="Arial"/>
      <family val="2"/>
    </font>
    <font>
      <b/>
      <sz val="10"/>
      <color rgb="FF008080"/>
      <name val="Arial"/>
      <family val="2"/>
    </font>
    <font>
      <sz val="7"/>
      <color theme="1" tint="0.499984740745262"/>
      <name val="Arial"/>
      <family val="2"/>
    </font>
    <font>
      <b/>
      <sz val="10"/>
      <color indexed="9"/>
      <name val="Arial"/>
      <family val="2"/>
    </font>
    <font>
      <sz val="10"/>
      <color theme="0"/>
      <name val="Arial"/>
      <family val="2"/>
    </font>
    <font>
      <sz val="10"/>
      <color theme="1" tint="0.249977111117893"/>
      <name val="Arial"/>
      <family val="2"/>
    </font>
    <font>
      <sz val="11"/>
      <name val="Arial"/>
      <family val="2"/>
    </font>
    <font>
      <sz val="9"/>
      <color theme="1" tint="4.9989318521683403E-2"/>
      <name val="Arial"/>
      <family val="2"/>
    </font>
    <font>
      <sz val="10"/>
      <color theme="1" tint="0.34998626667073579"/>
      <name val="Arial"/>
      <family val="2"/>
    </font>
    <font>
      <u/>
      <sz val="9"/>
      <color rgb="FF008080"/>
      <name val="Arial"/>
      <family val="2"/>
    </font>
    <font>
      <b/>
      <sz val="12"/>
      <color theme="0"/>
      <name val="Arial"/>
      <family val="2"/>
    </font>
    <font>
      <u/>
      <sz val="10"/>
      <color rgb="FF008080"/>
      <name val="Arial"/>
      <family val="2"/>
    </font>
    <font>
      <b/>
      <sz val="11"/>
      <color indexed="21"/>
      <name val="Arial"/>
      <family val="2"/>
    </font>
    <font>
      <sz val="8"/>
      <color indexed="21"/>
      <name val="Arial"/>
      <family val="2"/>
    </font>
    <font>
      <sz val="10"/>
      <color indexed="9"/>
      <name val="Arial"/>
      <family val="2"/>
    </font>
    <font>
      <b/>
      <sz val="9"/>
      <color rgb="FF008080"/>
      <name val="Arial"/>
      <family val="2"/>
    </font>
    <font>
      <b/>
      <u/>
      <sz val="10"/>
      <color theme="1" tint="0.499984740745262"/>
      <name val="Arial"/>
      <family val="2"/>
    </font>
    <font>
      <b/>
      <sz val="9"/>
      <color indexed="9"/>
      <name val="Arial"/>
      <family val="2"/>
    </font>
    <font>
      <b/>
      <sz val="10"/>
      <color theme="0"/>
      <name val="Arial"/>
      <family val="2"/>
    </font>
    <font>
      <sz val="10"/>
      <name val="Arial"/>
      <family val="2"/>
    </font>
    <font>
      <b/>
      <sz val="10"/>
      <color theme="1" tint="0.249977111117893"/>
      <name val="Arial"/>
      <family val="2"/>
    </font>
    <font>
      <b/>
      <sz val="10"/>
      <color theme="1" tint="4.9989318521683403E-2"/>
      <name val="Arial"/>
      <family val="2"/>
    </font>
    <font>
      <b/>
      <sz val="9"/>
      <color theme="0"/>
      <name val="Arial"/>
      <family val="2"/>
    </font>
    <font>
      <sz val="9"/>
      <color theme="1"/>
      <name val="Arial"/>
      <family val="2"/>
    </font>
    <font>
      <sz val="8"/>
      <color theme="1" tint="0.499984740745262"/>
      <name val="Arial"/>
      <family val="2"/>
    </font>
    <font>
      <sz val="8"/>
      <color theme="1" tint="0.34998626667073579"/>
      <name val="Arial"/>
      <family val="2"/>
    </font>
    <font>
      <b/>
      <sz val="11"/>
      <color rgb="FFFF6600"/>
      <name val="Arial"/>
      <family val="2"/>
    </font>
    <font>
      <sz val="9"/>
      <color theme="1" tint="0.249977111117893"/>
      <name val="Arial"/>
      <family val="2"/>
    </font>
    <font>
      <b/>
      <sz val="10"/>
      <color rgb="FFFF6600"/>
      <name val="Arial"/>
      <family val="2"/>
    </font>
    <font>
      <u/>
      <sz val="9"/>
      <color rgb="FFFF6600"/>
      <name val="Arial"/>
      <family val="2"/>
    </font>
    <font>
      <u/>
      <sz val="10"/>
      <color rgb="FFFF6600"/>
      <name val="Arial"/>
      <family val="2"/>
    </font>
    <font>
      <sz val="8"/>
      <color rgb="FFFF6600"/>
      <name val="Arial"/>
      <family val="2"/>
    </font>
    <font>
      <u/>
      <sz val="10"/>
      <color theme="1" tint="0.499984740745262"/>
      <name val="Arial"/>
      <family val="2"/>
    </font>
    <font>
      <sz val="8"/>
      <color theme="3" tint="0.39997558519241921"/>
      <name val="Arial"/>
      <family val="2"/>
    </font>
    <font>
      <b/>
      <sz val="10"/>
      <color theme="3" tint="0.39997558519241921"/>
      <name val="Arial"/>
      <family val="2"/>
    </font>
    <font>
      <b/>
      <sz val="11"/>
      <color theme="7" tint="-0.249977111117893"/>
      <name val="Arial"/>
      <family val="2"/>
    </font>
    <font>
      <u/>
      <sz val="9"/>
      <color theme="7" tint="-0.249977111117893"/>
      <name val="Arial"/>
      <family val="2"/>
    </font>
    <font>
      <b/>
      <sz val="11"/>
      <color theme="3" tint="0.39997558519241921"/>
      <name val="Arial"/>
      <family val="2"/>
    </font>
    <font>
      <u/>
      <sz val="9"/>
      <color theme="3" tint="0.39997558519241921"/>
      <name val="Arial"/>
      <family val="2"/>
    </font>
    <font>
      <u/>
      <sz val="10"/>
      <color theme="3" tint="0.39997558519241921"/>
      <name val="Arial"/>
      <family val="2"/>
    </font>
    <font>
      <sz val="9"/>
      <color theme="3" tint="0.39997558519241921"/>
      <name val="Arial"/>
      <family val="2"/>
    </font>
    <font>
      <sz val="11"/>
      <color theme="1" tint="0.34998626667073579"/>
      <name val="Arial"/>
      <family val="2"/>
    </font>
    <font>
      <b/>
      <sz val="10"/>
      <color theme="1" tint="0.14999847407452621"/>
      <name val="Arial"/>
      <family val="2"/>
    </font>
    <font>
      <b/>
      <sz val="8"/>
      <color theme="0"/>
      <name val="Arial"/>
      <family val="2"/>
    </font>
    <font>
      <u/>
      <sz val="10"/>
      <color theme="0" tint="-0.499984740745262"/>
      <name val="Arial"/>
      <family val="2"/>
    </font>
    <font>
      <b/>
      <sz val="11"/>
      <color theme="1" tint="0.34998626667073579"/>
      <name val="Arial"/>
      <family val="2"/>
    </font>
    <font>
      <sz val="9"/>
      <color theme="1" tint="0.34998626667073579"/>
      <name val="Arial"/>
      <family val="2"/>
    </font>
    <font>
      <b/>
      <sz val="10"/>
      <color theme="1" tint="0.34998626667073579"/>
      <name val="Arial"/>
      <family val="2"/>
    </font>
    <font>
      <b/>
      <sz val="10"/>
      <color theme="7" tint="-0.249977111117893"/>
      <name val="Arial"/>
      <family val="2"/>
    </font>
    <font>
      <sz val="11"/>
      <color theme="7" tint="-0.249977111117893"/>
      <name val="Arial"/>
      <family val="2"/>
    </font>
    <font>
      <b/>
      <sz val="18"/>
      <color theme="0"/>
      <name val="Arial"/>
      <family val="2"/>
    </font>
    <font>
      <u/>
      <sz val="9"/>
      <color theme="1" tint="0.499984740745262"/>
      <name val="Arial"/>
      <family val="2"/>
    </font>
    <font>
      <u/>
      <sz val="10"/>
      <color theme="7" tint="-0.249977111117893"/>
      <name val="Arial"/>
      <family val="2"/>
    </font>
    <font>
      <u/>
      <sz val="9"/>
      <color theme="1" tint="0.34998626667073579"/>
      <name val="Arial"/>
      <family val="2"/>
    </font>
    <font>
      <sz val="10"/>
      <color rgb="FF008080"/>
      <name val="Arial"/>
      <family val="2"/>
    </font>
    <font>
      <sz val="11"/>
      <color rgb="FF009999"/>
      <name val="Arial"/>
      <family val="2"/>
    </font>
    <font>
      <b/>
      <sz val="14"/>
      <color theme="0"/>
      <name val="Arial"/>
      <family val="2"/>
    </font>
    <font>
      <b/>
      <sz val="16"/>
      <color theme="1" tint="0.34998626667073579"/>
      <name val="Arial"/>
      <family val="2"/>
    </font>
    <font>
      <b/>
      <sz val="28"/>
      <color rgb="FF008080"/>
      <name val="Arial"/>
      <family val="2"/>
    </font>
    <font>
      <sz val="11"/>
      <color theme="1" tint="0.14999847407452621"/>
      <name val="Arial"/>
      <family val="2"/>
    </font>
    <font>
      <b/>
      <sz val="13"/>
      <color theme="1" tint="0.34998626667073579"/>
      <name val="Arial"/>
      <family val="2"/>
    </font>
    <font>
      <sz val="8"/>
      <color theme="7" tint="-0.249977111117893"/>
      <name val="Arial"/>
      <family val="2"/>
    </font>
    <font>
      <b/>
      <sz val="11"/>
      <color theme="1" tint="0.249977111117893"/>
      <name val="Arial"/>
      <family val="2"/>
    </font>
    <font>
      <i/>
      <sz val="11"/>
      <color theme="1" tint="0.249977111117893"/>
      <name val="Arial"/>
      <family val="2"/>
    </font>
    <font>
      <i/>
      <sz val="10"/>
      <color theme="1" tint="0.249977111117893"/>
      <name val="Arial"/>
      <family val="2"/>
    </font>
    <font>
      <u/>
      <sz val="10"/>
      <color theme="1" tint="0.249977111117893"/>
      <name val="Arial"/>
      <family val="2"/>
    </font>
    <font>
      <b/>
      <sz val="10"/>
      <color rgb="FF009999"/>
      <name val="Arial"/>
      <family val="2"/>
    </font>
    <font>
      <sz val="10"/>
      <color rgb="FFFF0000"/>
      <name val="Arial"/>
      <family val="2"/>
    </font>
    <font>
      <b/>
      <sz val="9"/>
      <color theme="1" tint="0.34998626667073579"/>
      <name val="Arial"/>
      <family val="2"/>
    </font>
    <font>
      <b/>
      <sz val="8"/>
      <color theme="1" tint="0.34998626667073579"/>
      <name val="Arial"/>
      <family val="2"/>
    </font>
    <font>
      <sz val="7"/>
      <color theme="1" tint="0.34998626667073579"/>
      <name val="Arial"/>
      <family val="2"/>
    </font>
    <font>
      <sz val="8"/>
      <color theme="1"/>
      <name val="Arial"/>
      <family val="2"/>
    </font>
    <font>
      <sz val="9"/>
      <color theme="0"/>
      <name val="Arial"/>
      <family val="2"/>
    </font>
    <font>
      <sz val="8"/>
      <color theme="0"/>
      <name val="Arial"/>
      <family val="2"/>
    </font>
    <font>
      <sz val="9"/>
      <color theme="1" tint="0.14999847407452621"/>
      <name val="Arial"/>
      <family val="2"/>
    </font>
    <font>
      <b/>
      <sz val="9"/>
      <color theme="1"/>
      <name val="Arial"/>
      <family val="2"/>
    </font>
    <font>
      <sz val="8"/>
      <color rgb="FFFF0000"/>
      <name val="Arial"/>
      <family val="2"/>
    </font>
    <font>
      <sz val="9"/>
      <color rgb="FFFF0000"/>
      <name val="Arial"/>
      <family val="2"/>
    </font>
    <font>
      <sz val="9"/>
      <color theme="1" tint="0.249977111117893"/>
      <name val="Calibri"/>
      <family val="2"/>
    </font>
    <font>
      <b/>
      <sz val="10"/>
      <color rgb="FFFF0000"/>
      <name val="Arial"/>
      <family val="2"/>
    </font>
    <font>
      <i/>
      <sz val="8"/>
      <color rgb="FFFF6600"/>
      <name val="Arial"/>
      <family val="2"/>
    </font>
    <font>
      <b/>
      <i/>
      <sz val="10"/>
      <color indexed="9"/>
      <name val="Arial"/>
      <family val="2"/>
    </font>
    <font>
      <sz val="8"/>
      <color theme="1" tint="0.249977111117893"/>
      <name val="Arial"/>
      <family val="2"/>
    </font>
    <font>
      <sz val="9"/>
      <color theme="7" tint="-0.249977111117893"/>
      <name val="Arial"/>
      <family val="2"/>
    </font>
    <font>
      <b/>
      <sz val="9"/>
      <color theme="7" tint="-0.249977111117893"/>
      <name val="Arial"/>
      <family val="2"/>
    </font>
    <font>
      <b/>
      <sz val="10"/>
      <name val="Arial"/>
      <family val="2"/>
    </font>
    <font>
      <b/>
      <sz val="9"/>
      <color theme="3" tint="0.39997558519241921"/>
      <name val="Arial"/>
      <family val="2"/>
    </font>
    <font>
      <sz val="10"/>
      <color theme="3" tint="0.39997558519241921"/>
      <name val="Arial"/>
      <family val="2"/>
    </font>
    <font>
      <sz val="8"/>
      <color theme="1" tint="0.34998626667073579"/>
      <name val="Calibri"/>
      <family val="2"/>
    </font>
    <font>
      <sz val="8.5"/>
      <color theme="1" tint="0.249977111117893"/>
      <name val="Arial"/>
      <family val="2"/>
    </font>
    <font>
      <b/>
      <sz val="10"/>
      <color theme="1"/>
      <name val="Calibri"/>
      <family val="2"/>
    </font>
    <font>
      <sz val="8"/>
      <color rgb="FF008080"/>
      <name val="Arial"/>
      <family val="2"/>
    </font>
    <font>
      <i/>
      <sz val="7"/>
      <color theme="1" tint="0.499984740745262"/>
      <name val="Arial"/>
      <family val="2"/>
    </font>
    <font>
      <sz val="10"/>
      <color theme="1" tint="0.499984740745262"/>
      <name val="Arial"/>
      <family val="2"/>
    </font>
    <font>
      <i/>
      <sz val="8"/>
      <color theme="1" tint="0.499984740745262"/>
      <name val="Arial"/>
      <family val="2"/>
    </font>
    <font>
      <b/>
      <sz val="11"/>
      <color rgb="FFB4BD63"/>
      <name val="Arial"/>
      <family val="2"/>
    </font>
    <font>
      <u/>
      <sz val="9"/>
      <color rgb="FFB4BD63"/>
      <name val="Arial"/>
      <family val="2"/>
    </font>
    <font>
      <u/>
      <sz val="10"/>
      <color rgb="FFB4BD63"/>
      <name val="Arial"/>
      <family val="2"/>
    </font>
    <font>
      <sz val="9"/>
      <color theme="1"/>
      <name val="Calibri"/>
      <family val="2"/>
      <scheme val="minor"/>
    </font>
    <font>
      <b/>
      <sz val="18"/>
      <color theme="0" tint="-4.9989318521683403E-2"/>
      <name val="Arial"/>
      <family val="2"/>
    </font>
    <font>
      <b/>
      <sz val="14"/>
      <color rgb="FF008080"/>
      <name val="Arial"/>
      <family val="2"/>
    </font>
    <font>
      <b/>
      <u/>
      <sz val="14"/>
      <color theme="1" tint="0.249977111117893"/>
      <name val="Arial"/>
      <family val="2"/>
    </font>
    <font>
      <b/>
      <sz val="20"/>
      <color theme="0"/>
      <name val="Arial"/>
      <family val="2"/>
    </font>
    <font>
      <sz val="10"/>
      <color theme="8" tint="-0.249977111117893"/>
      <name val="Arial"/>
      <family val="2"/>
    </font>
    <font>
      <b/>
      <sz val="11"/>
      <color theme="8" tint="-0.249977111117893"/>
      <name val="Arial"/>
      <family val="2"/>
    </font>
    <font>
      <sz val="8"/>
      <color theme="8" tint="-0.249977111117893"/>
      <name val="Arial"/>
      <family val="2"/>
    </font>
    <font>
      <b/>
      <sz val="8"/>
      <color theme="3" tint="0.39997558519241921"/>
      <name val="Arial"/>
      <family val="2"/>
    </font>
  </fonts>
  <fills count="26">
    <fill>
      <patternFill patternType="none"/>
    </fill>
    <fill>
      <patternFill patternType="gray125"/>
    </fill>
    <fill>
      <patternFill patternType="solid">
        <fgColor theme="0"/>
        <bgColor indexed="64"/>
      </patternFill>
    </fill>
    <fill>
      <patternFill patternType="solid">
        <fgColor rgb="FF008080"/>
        <bgColor indexed="64"/>
      </patternFill>
    </fill>
    <fill>
      <patternFill patternType="solid">
        <fgColor indexed="9"/>
        <bgColor indexed="64"/>
      </patternFill>
    </fill>
    <fill>
      <patternFill patternType="solid">
        <fgColor indexed="21"/>
        <bgColor indexed="64"/>
      </patternFill>
    </fill>
    <fill>
      <patternFill patternType="solid">
        <fgColor theme="6"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rgb="FFFF6600"/>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rgb="FF009999"/>
        <bgColor indexed="64"/>
      </patternFill>
    </fill>
    <fill>
      <patternFill patternType="solid">
        <fgColor rgb="FF9179A7"/>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BE7EF"/>
        <bgColor indexed="64"/>
      </patternFill>
    </fill>
    <fill>
      <patternFill patternType="solid">
        <fgColor rgb="FFCCFFCC"/>
        <bgColor indexed="64"/>
      </patternFill>
    </fill>
    <fill>
      <patternFill patternType="solid">
        <fgColor rgb="FFFFC000"/>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rgb="FFB4BD63"/>
        <bgColor indexed="64"/>
      </patternFill>
    </fill>
    <fill>
      <patternFill patternType="solid">
        <fgColor rgb="FFDEE0B6"/>
        <bgColor indexed="64"/>
      </patternFill>
    </fill>
    <fill>
      <patternFill patternType="solid">
        <fgColor theme="0" tint="-0.249977111117893"/>
        <bgColor indexed="64"/>
      </patternFill>
    </fill>
  </fills>
  <borders count="78">
    <border>
      <left/>
      <right/>
      <top/>
      <bottom/>
      <diagonal/>
    </border>
    <border>
      <left style="thick">
        <color rgb="FF008080"/>
      </left>
      <right/>
      <top style="thick">
        <color rgb="FF008080"/>
      </top>
      <bottom/>
      <diagonal/>
    </border>
    <border>
      <left/>
      <right/>
      <top style="thick">
        <color rgb="FF008080"/>
      </top>
      <bottom/>
      <diagonal/>
    </border>
    <border>
      <left/>
      <right style="thick">
        <color rgb="FF008080"/>
      </right>
      <top style="thick">
        <color rgb="FF008080"/>
      </top>
      <bottom/>
      <diagonal/>
    </border>
    <border>
      <left style="thick">
        <color rgb="FF008080"/>
      </left>
      <right/>
      <top/>
      <bottom/>
      <diagonal/>
    </border>
    <border>
      <left/>
      <right style="thick">
        <color rgb="FF008080"/>
      </right>
      <top/>
      <bottom/>
      <diagonal/>
    </border>
    <border>
      <left style="thick">
        <color rgb="FF008080"/>
      </left>
      <right/>
      <top/>
      <bottom style="thick">
        <color rgb="FF008080"/>
      </bottom>
      <diagonal/>
    </border>
    <border>
      <left/>
      <right/>
      <top/>
      <bottom style="thick">
        <color rgb="FF008080"/>
      </bottom>
      <diagonal/>
    </border>
    <border>
      <left/>
      <right style="thick">
        <color rgb="FF008080"/>
      </right>
      <top/>
      <bottom style="thick">
        <color rgb="FF008080"/>
      </bottom>
      <diagonal/>
    </border>
    <border>
      <left/>
      <right/>
      <top style="thin">
        <color indexed="55"/>
      </top>
      <bottom/>
      <diagonal/>
    </border>
    <border>
      <left/>
      <right/>
      <top/>
      <bottom style="medium">
        <color indexed="21"/>
      </bottom>
      <diagonal/>
    </border>
    <border>
      <left/>
      <right/>
      <top/>
      <bottom style="thick">
        <color theme="3" tint="0.39994506668294322"/>
      </bottom>
      <diagonal/>
    </border>
    <border>
      <left/>
      <right/>
      <top/>
      <bottom style="medium">
        <color theme="3" tint="0.399945066682943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top/>
      <bottom style="thick">
        <color rgb="FFFF6600"/>
      </bottom>
      <diagonal/>
    </border>
    <border>
      <left/>
      <right/>
      <top/>
      <bottom style="medium">
        <color rgb="FFFF6600"/>
      </bottom>
      <diagonal/>
    </border>
    <border>
      <left/>
      <right/>
      <top/>
      <bottom style="thick">
        <color theme="7"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top/>
      <bottom style="thin">
        <color theme="0" tint="-0.24994659260841701"/>
      </bottom>
      <diagonal/>
    </border>
    <border>
      <left/>
      <right/>
      <top style="medium">
        <color rgb="FF008080"/>
      </top>
      <bottom/>
      <diagonal/>
    </border>
    <border>
      <left/>
      <right/>
      <top style="medium">
        <color rgb="FFFF6600"/>
      </top>
      <bottom/>
      <diagonal/>
    </border>
    <border>
      <left/>
      <right/>
      <top style="medium">
        <color theme="7" tint="-0.24994659260841701"/>
      </top>
      <bottom/>
      <diagonal/>
    </border>
    <border>
      <left/>
      <right/>
      <top style="medium">
        <color theme="3" tint="0.39994506668294322"/>
      </top>
      <bottom/>
      <diagonal/>
    </border>
    <border>
      <left/>
      <right/>
      <top/>
      <bottom style="medium">
        <color theme="7"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24994659260841701"/>
      </left>
      <right style="thin">
        <color theme="0" tint="-0.24994659260841701"/>
      </right>
      <top/>
      <bottom style="thin">
        <color theme="0" tint="-4.9989318521683403E-2"/>
      </bottom>
      <diagonal/>
    </border>
    <border>
      <left style="double">
        <color theme="0" tint="-0.24994659260841701"/>
      </left>
      <right style="thin">
        <color theme="0" tint="-0.24994659260841701"/>
      </right>
      <top style="thin">
        <color theme="0" tint="-0.24994659260841701"/>
      </top>
      <bottom style="thin">
        <color theme="0" tint="-0.24994659260841701"/>
      </bottom>
      <diagonal/>
    </border>
    <border>
      <left style="double">
        <color theme="0" tint="-0.24994659260841701"/>
      </left>
      <right style="thin">
        <color theme="0" tint="-0.24994659260841701"/>
      </right>
      <top style="thin">
        <color theme="0" tint="-0.24994659260841701"/>
      </top>
      <bottom/>
      <diagonal/>
    </border>
    <border>
      <left style="double">
        <color theme="0" tint="-0.24994659260841701"/>
      </left>
      <right style="thin">
        <color theme="0" tint="-0.24994659260841701"/>
      </right>
      <top/>
      <bottom/>
      <diagonal/>
    </border>
    <border>
      <left style="double">
        <color theme="0" tint="-0.24994659260841701"/>
      </left>
      <right style="thin">
        <color theme="0" tint="-0.24994659260841701"/>
      </right>
      <top/>
      <bottom style="thin">
        <color theme="0" tint="-0.24994659260841701"/>
      </bottom>
      <diagonal/>
    </border>
    <border>
      <left style="double">
        <color theme="0" tint="-0.24994659260841701"/>
      </left>
      <right/>
      <top style="thin">
        <color theme="0" tint="-0.24994659260841701"/>
      </top>
      <bottom style="thin">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3743705557422"/>
      </top>
      <bottom/>
      <diagonal/>
    </border>
    <border>
      <left/>
      <right/>
      <top style="thin">
        <color theme="0" tint="-0.14993743705557422"/>
      </top>
      <bottom/>
      <diagonal/>
    </border>
    <border>
      <left/>
      <right style="thin">
        <color theme="0" tint="-0.14996795556505021"/>
      </right>
      <top style="thin">
        <color theme="0" tint="-0.14993743705557422"/>
      </top>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thin">
        <color theme="0" tint="-0.14996795556505021"/>
      </right>
      <top/>
      <bottom style="thin">
        <color theme="0" tint="-0.14993743705557422"/>
      </bottom>
      <diagonal/>
    </border>
    <border>
      <left style="thin">
        <color theme="0" tint="-0.14993743705557422"/>
      </left>
      <right/>
      <top/>
      <bottom/>
      <diagonal/>
    </border>
    <border>
      <left/>
      <right style="thin">
        <color theme="0" tint="-0.14993743705557422"/>
      </right>
      <top style="thin">
        <color theme="0" tint="-0.14993743705557422"/>
      </top>
      <bottom/>
      <diagonal/>
    </border>
    <border>
      <left/>
      <right style="thin">
        <color theme="0" tint="-0.14993743705557422"/>
      </right>
      <top/>
      <bottom/>
      <diagonal/>
    </border>
    <border>
      <left/>
      <right style="thin">
        <color theme="0" tint="-0.14993743705557422"/>
      </right>
      <top/>
      <bottom style="thin">
        <color theme="0" tint="-0.14993743705557422"/>
      </bottom>
      <diagonal/>
    </border>
    <border>
      <left style="thin">
        <color theme="0" tint="-0.14993743705557422"/>
      </left>
      <right/>
      <top style="thin">
        <color theme="0" tint="-0.14996795556505021"/>
      </top>
      <bottom/>
      <diagonal/>
    </border>
    <border>
      <left style="thin">
        <color theme="0" tint="-0.14993743705557422"/>
      </left>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thin">
        <color theme="0" tint="-0.14990691854609822"/>
      </right>
      <top style="thin">
        <color theme="0" tint="-0.14993743705557422"/>
      </top>
      <bottom style="thin">
        <color theme="0" tint="-0.14990691854609822"/>
      </bottom>
      <diagonal/>
    </border>
    <border>
      <left style="thin">
        <color theme="0" tint="-0.14993743705557422"/>
      </left>
      <right/>
      <top/>
      <bottom style="thin">
        <color theme="0" tint="-0.14996795556505021"/>
      </bottom>
      <diagonal/>
    </border>
    <border>
      <left/>
      <right/>
      <top/>
      <bottom style="thick">
        <color rgb="FFB4BD63"/>
      </bottom>
      <diagonal/>
    </border>
    <border>
      <left/>
      <right/>
      <top style="medium">
        <color rgb="FFB4BD63"/>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950">
    <xf numFmtId="0" fontId="0" fillId="0" borderId="0" xfId="0"/>
    <xf numFmtId="0" fontId="2" fillId="2" borderId="0" xfId="0" applyFont="1" applyFill="1" applyAlignment="1">
      <alignment horizontal="center" vertical="center"/>
    </xf>
    <xf numFmtId="0" fontId="3" fillId="4" borderId="0" xfId="0" applyFont="1" applyFill="1"/>
    <xf numFmtId="0" fontId="3" fillId="4" borderId="0" xfId="0" applyFont="1" applyFill="1" applyAlignment="1">
      <alignment horizontal="right"/>
    </xf>
    <xf numFmtId="0" fontId="4" fillId="4" borderId="0" xfId="0" applyFont="1" applyFill="1" applyAlignment="1">
      <alignment horizontal="right"/>
    </xf>
    <xf numFmtId="0" fontId="3" fillId="2" borderId="0" xfId="0" applyFont="1" applyFill="1"/>
    <xf numFmtId="0" fontId="6" fillId="0" borderId="0" xfId="0" applyFont="1"/>
    <xf numFmtId="0" fontId="7" fillId="0" borderId="0" xfId="0" applyFont="1" applyAlignment="1">
      <alignment wrapText="1" shrinkToFit="1"/>
    </xf>
    <xf numFmtId="0" fontId="7" fillId="0" borderId="0" xfId="0" applyFont="1"/>
    <xf numFmtId="0" fontId="8" fillId="0" borderId="0" xfId="0" applyFont="1"/>
    <xf numFmtId="165" fontId="7" fillId="0" borderId="0" xfId="0" applyNumberFormat="1" applyFont="1"/>
    <xf numFmtId="165" fontId="7" fillId="17" borderId="0" xfId="0" applyNumberFormat="1" applyFont="1" applyFill="1"/>
    <xf numFmtId="0" fontId="7" fillId="0" borderId="0" xfId="0" applyFont="1" applyBorder="1"/>
    <xf numFmtId="0" fontId="7" fillId="17" borderId="0" xfId="0" applyFont="1" applyFill="1"/>
    <xf numFmtId="165" fontId="7" fillId="0" borderId="0" xfId="0" applyNumberFormat="1" applyFont="1" applyBorder="1"/>
    <xf numFmtId="17" fontId="7" fillId="0" borderId="0" xfId="0" applyNumberFormat="1" applyFont="1" applyAlignment="1">
      <alignment horizontal="center"/>
    </xf>
    <xf numFmtId="165" fontId="8" fillId="0" borderId="0" xfId="0" applyNumberFormat="1" applyFont="1"/>
    <xf numFmtId="0" fontId="7" fillId="0" borderId="0" xfId="0" applyFont="1" applyAlignment="1">
      <alignment horizontal="left"/>
    </xf>
    <xf numFmtId="49" fontId="7" fillId="0" borderId="0" xfId="0" applyNumberFormat="1" applyFont="1"/>
    <xf numFmtId="0" fontId="6" fillId="2" borderId="0" xfId="0" applyFont="1" applyFill="1"/>
    <xf numFmtId="0" fontId="6" fillId="2" borderId="7" xfId="0" applyFont="1" applyFill="1" applyBorder="1"/>
    <xf numFmtId="0" fontId="10" fillId="2" borderId="0" xfId="1" applyFont="1" applyFill="1" applyAlignment="1" applyProtection="1"/>
    <xf numFmtId="0" fontId="6" fillId="4" borderId="0" xfId="0" applyFont="1" applyFill="1"/>
    <xf numFmtId="164" fontId="6" fillId="0" borderId="0" xfId="0" applyNumberFormat="1" applyFont="1"/>
    <xf numFmtId="0" fontId="14" fillId="2" borderId="0" xfId="0" applyFont="1" applyFill="1"/>
    <xf numFmtId="0" fontId="18" fillId="2" borderId="0" xfId="0" applyFont="1" applyFill="1" applyAlignment="1">
      <alignment horizontal="right"/>
    </xf>
    <xf numFmtId="0" fontId="12" fillId="2" borderId="0" xfId="0" applyFont="1" applyFill="1" applyBorder="1" applyAlignment="1"/>
    <xf numFmtId="0" fontId="12" fillId="2" borderId="0" xfId="0" applyFont="1" applyFill="1" applyAlignment="1">
      <alignment horizontal="left"/>
    </xf>
    <xf numFmtId="0" fontId="12" fillId="2" borderId="0" xfId="0" applyFont="1" applyFill="1" applyAlignment="1"/>
    <xf numFmtId="3" fontId="15" fillId="2" borderId="0" xfId="0" applyNumberFormat="1" applyFont="1" applyFill="1" applyBorder="1" applyAlignment="1">
      <alignment horizontal="right" vertical="center"/>
    </xf>
    <xf numFmtId="3" fontId="17" fillId="2" borderId="0" xfId="0" applyNumberFormat="1" applyFont="1" applyFill="1" applyBorder="1" applyAlignment="1">
      <alignment horizontal="right" vertical="center"/>
    </xf>
    <xf numFmtId="0" fontId="22" fillId="2" borderId="0" xfId="0" applyFont="1" applyFill="1" applyAlignment="1">
      <alignment horizontal="left"/>
    </xf>
    <xf numFmtId="0" fontId="25" fillId="2" borderId="0" xfId="1" applyFont="1" applyFill="1" applyAlignment="1" applyProtection="1"/>
    <xf numFmtId="2" fontId="21" fillId="6" borderId="20" xfId="0" applyNumberFormat="1" applyFont="1" applyFill="1" applyBorder="1" applyAlignment="1">
      <alignment horizontal="center" vertical="center"/>
    </xf>
    <xf numFmtId="2" fontId="21" fillId="6" borderId="23" xfId="0" applyNumberFormat="1" applyFont="1" applyFill="1" applyBorder="1" applyAlignment="1">
      <alignment horizontal="center" vertical="center"/>
    </xf>
    <xf numFmtId="2" fontId="21" fillId="6" borderId="21" xfId="0" applyNumberFormat="1" applyFont="1" applyFill="1" applyBorder="1" applyAlignment="1">
      <alignment horizontal="center" vertical="center"/>
    </xf>
    <xf numFmtId="0" fontId="15" fillId="4" borderId="22" xfId="0" applyFont="1" applyFill="1" applyBorder="1" applyAlignment="1">
      <alignment vertical="center"/>
    </xf>
    <xf numFmtId="3" fontId="23" fillId="4" borderId="28" xfId="0" applyNumberFormat="1" applyFont="1" applyFill="1" applyBorder="1" applyAlignment="1">
      <alignment horizontal="right" vertical="center"/>
    </xf>
    <xf numFmtId="3" fontId="23" fillId="4" borderId="29" xfId="0" applyNumberFormat="1" applyFont="1" applyFill="1" applyBorder="1" applyAlignment="1">
      <alignment horizontal="right" vertical="center"/>
    </xf>
    <xf numFmtId="3" fontId="23" fillId="4" borderId="30" xfId="0" applyNumberFormat="1" applyFont="1" applyFill="1" applyBorder="1" applyAlignment="1">
      <alignment horizontal="right" vertical="center"/>
    </xf>
    <xf numFmtId="3" fontId="23" fillId="6" borderId="14" xfId="0" applyNumberFormat="1" applyFont="1" applyFill="1" applyBorder="1" applyAlignment="1">
      <alignment horizontal="right" vertical="center"/>
    </xf>
    <xf numFmtId="3" fontId="23" fillId="6" borderId="0" xfId="0" applyNumberFormat="1" applyFont="1" applyFill="1" applyBorder="1" applyAlignment="1">
      <alignment horizontal="right" vertical="center"/>
    </xf>
    <xf numFmtId="3" fontId="23" fillId="6" borderId="15" xfId="0" applyNumberFormat="1" applyFont="1" applyFill="1" applyBorder="1" applyAlignment="1">
      <alignment horizontal="right" vertical="center"/>
    </xf>
    <xf numFmtId="3" fontId="31" fillId="4" borderId="16" xfId="0" applyNumberFormat="1" applyFont="1" applyFill="1" applyBorder="1" applyAlignment="1">
      <alignment horizontal="right" vertical="center"/>
    </xf>
    <xf numFmtId="3" fontId="31" fillId="4" borderId="34" xfId="0" applyNumberFormat="1" applyFont="1" applyFill="1" applyBorder="1" applyAlignment="1">
      <alignment horizontal="right" vertical="center"/>
    </xf>
    <xf numFmtId="3" fontId="31" fillId="4" borderId="17" xfId="0" applyNumberFormat="1" applyFont="1" applyFill="1" applyBorder="1" applyAlignment="1">
      <alignment horizontal="right" vertical="center"/>
    </xf>
    <xf numFmtId="0" fontId="32" fillId="2" borderId="0" xfId="1" applyFont="1" applyFill="1" applyAlignment="1" applyProtection="1"/>
    <xf numFmtId="0" fontId="20" fillId="3" borderId="20" xfId="0" applyFont="1" applyFill="1" applyBorder="1" applyAlignment="1">
      <alignment horizontal="left" vertical="center"/>
    </xf>
    <xf numFmtId="0" fontId="34" fillId="3" borderId="13" xfId="0" applyFont="1" applyFill="1" applyBorder="1" applyAlignment="1">
      <alignment horizontal="center" vertical="center"/>
    </xf>
    <xf numFmtId="0" fontId="34" fillId="3" borderId="21" xfId="0" applyFont="1" applyFill="1" applyBorder="1" applyAlignment="1">
      <alignment horizontal="center" vertical="center"/>
    </xf>
    <xf numFmtId="0" fontId="36" fillId="2" borderId="14" xfId="0" applyFont="1" applyFill="1" applyBorder="1" applyAlignment="1">
      <alignment horizontal="left" vertical="center" indent="1"/>
    </xf>
    <xf numFmtId="165" fontId="15" fillId="2" borderId="18" xfId="0" applyNumberFormat="1" applyFont="1" applyFill="1" applyBorder="1" applyAlignment="1">
      <alignment horizontal="right" vertical="center" indent="1"/>
    </xf>
    <xf numFmtId="165" fontId="15" fillId="2" borderId="14" xfId="0" applyNumberFormat="1" applyFont="1" applyFill="1" applyBorder="1" applyAlignment="1">
      <alignment horizontal="right" vertical="center" indent="1"/>
    </xf>
    <xf numFmtId="165" fontId="15" fillId="2" borderId="15" xfId="0" applyNumberFormat="1" applyFont="1" applyFill="1" applyBorder="1" applyAlignment="1">
      <alignment horizontal="right" vertical="center" indent="1"/>
    </xf>
    <xf numFmtId="0" fontId="35" fillId="6" borderId="14" xfId="0" applyFont="1" applyFill="1" applyBorder="1" applyAlignment="1">
      <alignment horizontal="left" indent="2"/>
    </xf>
    <xf numFmtId="165" fontId="15" fillId="6" borderId="0" xfId="0" applyNumberFormat="1" applyFont="1" applyFill="1" applyBorder="1" applyAlignment="1">
      <alignment horizontal="right" indent="2"/>
    </xf>
    <xf numFmtId="165" fontId="15" fillId="6" borderId="15" xfId="0" applyNumberFormat="1" applyFont="1" applyFill="1" applyBorder="1" applyAlignment="1">
      <alignment horizontal="right" indent="2"/>
    </xf>
    <xf numFmtId="0" fontId="36" fillId="2" borderId="16" xfId="0" applyFont="1" applyFill="1" applyBorder="1" applyAlignment="1">
      <alignment horizontal="left" vertical="center" indent="1"/>
    </xf>
    <xf numFmtId="165" fontId="15" fillId="2" borderId="19" xfId="0" applyNumberFormat="1" applyFont="1" applyFill="1" applyBorder="1" applyAlignment="1">
      <alignment horizontal="right" vertical="center" indent="1"/>
    </xf>
    <xf numFmtId="165" fontId="15" fillId="2" borderId="16" xfId="0" applyNumberFormat="1" applyFont="1" applyFill="1" applyBorder="1" applyAlignment="1">
      <alignment horizontal="right" vertical="center" indent="1"/>
    </xf>
    <xf numFmtId="165" fontId="15" fillId="2" borderId="17" xfId="0" applyNumberFormat="1" applyFont="1" applyFill="1" applyBorder="1" applyAlignment="1">
      <alignment horizontal="right" vertical="center" indent="1"/>
    </xf>
    <xf numFmtId="0" fontId="15" fillId="2" borderId="14" xfId="0" applyFont="1" applyFill="1" applyBorder="1" applyAlignment="1">
      <alignment horizontal="left" vertical="center" indent="1"/>
    </xf>
    <xf numFmtId="0" fontId="15" fillId="2" borderId="14" xfId="0" applyFont="1" applyFill="1" applyBorder="1" applyAlignment="1">
      <alignment horizontal="left" vertical="center" wrapText="1" indent="1"/>
    </xf>
    <xf numFmtId="0" fontId="29" fillId="2" borderId="0" xfId="0" applyFont="1" applyFill="1" applyAlignment="1"/>
    <xf numFmtId="0" fontId="13" fillId="2" borderId="0" xfId="0" applyFont="1" applyFill="1" applyBorder="1" applyAlignment="1">
      <alignment vertical="center"/>
    </xf>
    <xf numFmtId="0" fontId="33" fillId="5" borderId="28" xfId="0" applyFont="1" applyFill="1" applyBorder="1" applyAlignment="1">
      <alignment horizontal="center" vertical="center"/>
    </xf>
    <xf numFmtId="0" fontId="33" fillId="5" borderId="30" xfId="0" applyFont="1" applyFill="1" applyBorder="1" applyAlignment="1">
      <alignment horizontal="center" vertical="center"/>
    </xf>
    <xf numFmtId="0" fontId="33" fillId="5" borderId="29" xfId="0" applyFont="1" applyFill="1" applyBorder="1" applyAlignment="1">
      <alignment horizontal="center" vertical="center"/>
    </xf>
    <xf numFmtId="0" fontId="38" fillId="3" borderId="29" xfId="0" applyFont="1" applyFill="1" applyBorder="1" applyAlignment="1">
      <alignment horizontal="center" vertical="center" wrapText="1" shrinkToFit="1"/>
    </xf>
    <xf numFmtId="0" fontId="39" fillId="0" borderId="0" xfId="0" applyFont="1"/>
    <xf numFmtId="0" fontId="7" fillId="0" borderId="0" xfId="0" applyFont="1" applyFill="1"/>
    <xf numFmtId="0" fontId="7" fillId="0" borderId="0" xfId="0" applyFont="1" applyBorder="1" applyAlignment="1">
      <alignment horizontal="left"/>
    </xf>
    <xf numFmtId="0" fontId="8" fillId="0" borderId="0" xfId="0" applyFont="1" applyAlignment="1">
      <alignment horizontal="center"/>
    </xf>
    <xf numFmtId="0" fontId="8" fillId="0" borderId="0" xfId="0" applyFont="1" applyAlignment="1">
      <alignment horizontal="left"/>
    </xf>
    <xf numFmtId="164" fontId="15" fillId="2" borderId="14" xfId="0" applyNumberFormat="1" applyFont="1" applyFill="1" applyBorder="1" applyAlignment="1">
      <alignment horizontal="right" vertical="center" indent="1"/>
    </xf>
    <xf numFmtId="164" fontId="15" fillId="2" borderId="0" xfId="0" applyNumberFormat="1" applyFont="1" applyFill="1" applyBorder="1" applyAlignment="1">
      <alignment horizontal="right" vertical="center" indent="1"/>
    </xf>
    <xf numFmtId="164" fontId="17" fillId="2" borderId="14" xfId="0" applyNumberFormat="1" applyFont="1" applyFill="1" applyBorder="1" applyAlignment="1">
      <alignment horizontal="right" vertical="center" indent="1"/>
    </xf>
    <xf numFmtId="164" fontId="17" fillId="2" borderId="0" xfId="0" applyNumberFormat="1" applyFont="1" applyFill="1" applyBorder="1" applyAlignment="1">
      <alignment horizontal="right" vertical="center" indent="1"/>
    </xf>
    <xf numFmtId="164" fontId="17" fillId="2" borderId="16" xfId="0" applyNumberFormat="1" applyFont="1" applyFill="1" applyBorder="1" applyAlignment="1">
      <alignment horizontal="right" vertical="center" indent="1"/>
    </xf>
    <xf numFmtId="164" fontId="17" fillId="2" borderId="34" xfId="0" applyNumberFormat="1" applyFont="1" applyFill="1" applyBorder="1" applyAlignment="1">
      <alignment horizontal="right" vertical="center" indent="1"/>
    </xf>
    <xf numFmtId="164" fontId="15" fillId="2" borderId="15" xfId="0" applyNumberFormat="1" applyFont="1" applyFill="1" applyBorder="1" applyAlignment="1">
      <alignment horizontal="right" vertical="center" indent="1"/>
    </xf>
    <xf numFmtId="0" fontId="30" fillId="5" borderId="28" xfId="0" applyFont="1" applyFill="1" applyBorder="1" applyAlignment="1">
      <alignment horizontal="left" vertical="center" indent="1"/>
    </xf>
    <xf numFmtId="2" fontId="21" fillId="6" borderId="13" xfId="0" applyNumberFormat="1" applyFont="1" applyFill="1" applyBorder="1" applyAlignment="1">
      <alignment horizontal="center" vertical="center"/>
    </xf>
    <xf numFmtId="164" fontId="23" fillId="4" borderId="22" xfId="0" applyNumberFormat="1" applyFont="1" applyFill="1" applyBorder="1" applyAlignment="1">
      <alignment horizontal="center" vertical="center"/>
    </xf>
    <xf numFmtId="164" fontId="23" fillId="6" borderId="18" xfId="0" applyNumberFormat="1" applyFont="1" applyFill="1" applyBorder="1" applyAlignment="1">
      <alignment horizontal="center" vertical="center"/>
    </xf>
    <xf numFmtId="164" fontId="31" fillId="4" borderId="19" xfId="0" applyNumberFormat="1" applyFont="1" applyFill="1" applyBorder="1" applyAlignment="1">
      <alignment horizontal="center" vertical="center"/>
    </xf>
    <xf numFmtId="164" fontId="17" fillId="2" borderId="15" xfId="0" applyNumberFormat="1" applyFont="1" applyFill="1" applyBorder="1" applyAlignment="1">
      <alignment horizontal="right" vertical="center" indent="1"/>
    </xf>
    <xf numFmtId="164" fontId="17" fillId="2" borderId="17" xfId="0" applyNumberFormat="1" applyFont="1" applyFill="1" applyBorder="1" applyAlignment="1">
      <alignment horizontal="right" vertical="center" indent="1"/>
    </xf>
    <xf numFmtId="1" fontId="7" fillId="0" borderId="0" xfId="0" applyNumberFormat="1" applyFont="1"/>
    <xf numFmtId="1" fontId="7" fillId="17" borderId="0" xfId="0" applyNumberFormat="1" applyFont="1" applyFill="1"/>
    <xf numFmtId="165" fontId="7" fillId="0" borderId="0" xfId="0" applyNumberFormat="1" applyFont="1" applyFill="1"/>
    <xf numFmtId="0" fontId="34" fillId="2" borderId="0" xfId="0" applyFont="1" applyFill="1" applyBorder="1" applyAlignment="1">
      <alignment horizontal="center" vertical="center"/>
    </xf>
    <xf numFmtId="0" fontId="15" fillId="2" borderId="0" xfId="0" applyFont="1" applyFill="1" applyBorder="1" applyAlignment="1">
      <alignment horizontal="right" indent="1"/>
    </xf>
    <xf numFmtId="0" fontId="17" fillId="2" borderId="0" xfId="0" applyFont="1" applyFill="1" applyBorder="1" applyAlignment="1">
      <alignment horizontal="right" indent="1"/>
    </xf>
    <xf numFmtId="165" fontId="15" fillId="2" borderId="0" xfId="0" applyNumberFormat="1" applyFont="1" applyFill="1" applyBorder="1" applyAlignment="1">
      <alignment horizontal="right" indent="1"/>
    </xf>
    <xf numFmtId="165" fontId="17" fillId="2" borderId="0" xfId="0" applyNumberFormat="1" applyFont="1" applyFill="1" applyBorder="1" applyAlignment="1">
      <alignment horizontal="right" indent="1"/>
    </xf>
    <xf numFmtId="0" fontId="35" fillId="2" borderId="14" xfId="0" applyFont="1" applyFill="1" applyBorder="1" applyAlignment="1">
      <alignment horizontal="left" vertical="center" indent="1"/>
    </xf>
    <xf numFmtId="0" fontId="35" fillId="6" borderId="14" xfId="0" applyFont="1" applyFill="1" applyBorder="1" applyAlignment="1">
      <alignment horizontal="left" vertical="center" indent="1"/>
    </xf>
    <xf numFmtId="165" fontId="15" fillId="6" borderId="18" xfId="0" applyNumberFormat="1" applyFont="1" applyFill="1" applyBorder="1" applyAlignment="1">
      <alignment horizontal="right" vertical="center" indent="1"/>
    </xf>
    <xf numFmtId="165" fontId="17" fillId="2" borderId="19" xfId="0" applyNumberFormat="1" applyFont="1" applyFill="1" applyBorder="1" applyAlignment="1">
      <alignment horizontal="right" vertical="center" indent="1"/>
    </xf>
    <xf numFmtId="0" fontId="35" fillId="2" borderId="0" xfId="0" applyFont="1" applyFill="1" applyBorder="1" applyAlignment="1">
      <alignment horizontal="left" vertical="center" indent="1"/>
    </xf>
    <xf numFmtId="165" fontId="15" fillId="2" borderId="0" xfId="0" applyNumberFormat="1" applyFont="1" applyFill="1" applyBorder="1" applyAlignment="1">
      <alignment horizontal="right" vertical="center" indent="1"/>
    </xf>
    <xf numFmtId="2" fontId="7" fillId="0" borderId="0" xfId="0" applyNumberFormat="1" applyFont="1"/>
    <xf numFmtId="2" fontId="7" fillId="17" borderId="0" xfId="0" applyNumberFormat="1" applyFont="1" applyFill="1"/>
    <xf numFmtId="2" fontId="15" fillId="2" borderId="18" xfId="0" applyNumberFormat="1" applyFont="1" applyFill="1" applyBorder="1" applyAlignment="1">
      <alignment horizontal="right" vertical="center" indent="1"/>
    </xf>
    <xf numFmtId="2" fontId="15" fillId="6" borderId="18" xfId="0" applyNumberFormat="1" applyFont="1" applyFill="1" applyBorder="1" applyAlignment="1">
      <alignment horizontal="right" vertical="center" indent="1"/>
    </xf>
    <xf numFmtId="2" fontId="17" fillId="2" borderId="19" xfId="0" applyNumberFormat="1" applyFont="1" applyFill="1" applyBorder="1" applyAlignment="1">
      <alignment horizontal="right" vertical="center" indent="1"/>
    </xf>
    <xf numFmtId="49" fontId="8" fillId="0" borderId="0" xfId="0" applyNumberFormat="1" applyFont="1" applyAlignment="1">
      <alignment horizontal="center"/>
    </xf>
    <xf numFmtId="0" fontId="8" fillId="0" borderId="0" xfId="0" applyFont="1" applyFill="1" applyAlignment="1">
      <alignment horizontal="center"/>
    </xf>
    <xf numFmtId="2" fontId="7" fillId="0" borderId="0" xfId="0" applyNumberFormat="1" applyFont="1" applyFill="1"/>
    <xf numFmtId="166" fontId="7" fillId="0" borderId="0" xfId="0" applyNumberFormat="1" applyFont="1"/>
    <xf numFmtId="0" fontId="6" fillId="2" borderId="24" xfId="0" applyFont="1" applyFill="1" applyBorder="1"/>
    <xf numFmtId="0" fontId="18" fillId="2" borderId="0" xfId="0" applyFont="1" applyFill="1" applyAlignment="1">
      <alignment horizontal="right" indent="1"/>
    </xf>
    <xf numFmtId="0" fontId="45" fillId="2" borderId="0" xfId="1" applyFont="1" applyFill="1" applyAlignment="1" applyProtection="1"/>
    <xf numFmtId="0" fontId="48" fillId="0" borderId="0" xfId="1" applyFont="1" applyAlignment="1" applyProtection="1"/>
    <xf numFmtId="0" fontId="20" fillId="9" borderId="20" xfId="0" applyFont="1" applyFill="1" applyBorder="1" applyAlignment="1">
      <alignment horizontal="left" vertical="center"/>
    </xf>
    <xf numFmtId="0" fontId="34" fillId="9" borderId="13" xfId="0" applyFont="1" applyFill="1" applyBorder="1" applyAlignment="1">
      <alignment horizontal="center" vertical="center"/>
    </xf>
    <xf numFmtId="0" fontId="35" fillId="8" borderId="14" xfId="0" applyFont="1" applyFill="1" applyBorder="1" applyAlignment="1">
      <alignment horizontal="left" vertical="center" indent="1"/>
    </xf>
    <xf numFmtId="165" fontId="15" fillId="8" borderId="18" xfId="0" applyNumberFormat="1" applyFont="1" applyFill="1" applyBorder="1" applyAlignment="1">
      <alignment horizontal="right" vertical="center" indent="1"/>
    </xf>
    <xf numFmtId="165" fontId="50" fillId="2" borderId="19" xfId="0" applyNumberFormat="1" applyFont="1" applyFill="1" applyBorder="1" applyAlignment="1">
      <alignment horizontal="right" vertical="center" indent="1"/>
    </xf>
    <xf numFmtId="0" fontId="48" fillId="2" borderId="0" xfId="1" applyFont="1" applyFill="1" applyAlignment="1" applyProtection="1"/>
    <xf numFmtId="0" fontId="6" fillId="2" borderId="26" xfId="0" applyFont="1" applyFill="1" applyBorder="1"/>
    <xf numFmtId="0" fontId="6" fillId="2" borderId="0" xfId="0" applyFont="1" applyFill="1"/>
    <xf numFmtId="0" fontId="52" fillId="2" borderId="0" xfId="1" applyFont="1" applyFill="1" applyAlignment="1" applyProtection="1"/>
    <xf numFmtId="164" fontId="15" fillId="4" borderId="22" xfId="0" applyNumberFormat="1" applyFont="1" applyFill="1" applyBorder="1" applyAlignment="1">
      <alignment horizontal="right" vertical="center" indent="3"/>
    </xf>
    <xf numFmtId="164" fontId="44" fillId="4" borderId="19" xfId="0" applyNumberFormat="1" applyFont="1" applyFill="1" applyBorder="1" applyAlignment="1">
      <alignment horizontal="right" vertical="center" indent="3"/>
    </xf>
    <xf numFmtId="0" fontId="15" fillId="11" borderId="18" xfId="0" applyFont="1" applyFill="1" applyBorder="1" applyAlignment="1">
      <alignment horizontal="left" vertical="center"/>
    </xf>
    <xf numFmtId="164" fontId="15" fillId="11" borderId="18" xfId="0" applyNumberFormat="1" applyFont="1" applyFill="1" applyBorder="1" applyAlignment="1">
      <alignment horizontal="right" vertical="center" indent="3"/>
    </xf>
    <xf numFmtId="0" fontId="43" fillId="11" borderId="20" xfId="0" applyFont="1" applyFill="1" applyBorder="1" applyAlignment="1">
      <alignment horizontal="center" vertical="center"/>
    </xf>
    <xf numFmtId="164" fontId="44" fillId="4" borderId="18" xfId="0" applyNumberFormat="1" applyFont="1" applyFill="1" applyBorder="1" applyAlignment="1">
      <alignment horizontal="right" vertical="center" indent="3"/>
    </xf>
    <xf numFmtId="164" fontId="15" fillId="4" borderId="18" xfId="0" applyNumberFormat="1" applyFont="1" applyFill="1" applyBorder="1" applyAlignment="1">
      <alignment horizontal="right" vertical="center" indent="3"/>
    </xf>
    <xf numFmtId="0" fontId="6" fillId="2" borderId="11" xfId="0" applyFont="1" applyFill="1" applyBorder="1"/>
    <xf numFmtId="0" fontId="6" fillId="2" borderId="0" xfId="0" applyFont="1" applyFill="1" applyAlignment="1">
      <alignment vertical="center"/>
    </xf>
    <xf numFmtId="0" fontId="6" fillId="0" borderId="0" xfId="0" applyFont="1" applyAlignment="1">
      <alignment vertical="center"/>
    </xf>
    <xf numFmtId="0" fontId="6" fillId="2" borderId="0" xfId="0" applyFont="1" applyFill="1" applyAlignment="1"/>
    <xf numFmtId="0" fontId="54" fillId="2" borderId="0" xfId="1" applyFont="1" applyFill="1" applyAlignment="1" applyProtection="1"/>
    <xf numFmtId="0" fontId="49" fillId="2" borderId="0" xfId="0" applyFont="1" applyFill="1" applyAlignment="1"/>
    <xf numFmtId="1" fontId="7" fillId="0" borderId="0" xfId="0" applyNumberFormat="1" applyFont="1" applyFill="1"/>
    <xf numFmtId="165" fontId="35" fillId="2" borderId="18" xfId="0" applyNumberFormat="1" applyFont="1" applyFill="1" applyBorder="1" applyAlignment="1">
      <alignment horizontal="right" vertical="center" indent="1"/>
    </xf>
    <xf numFmtId="165" fontId="35" fillId="2" borderId="15" xfId="0" applyNumberFormat="1" applyFont="1" applyFill="1" applyBorder="1" applyAlignment="1">
      <alignment horizontal="right" vertical="center" indent="1"/>
    </xf>
    <xf numFmtId="165" fontId="35" fillId="8" borderId="18" xfId="0" applyNumberFormat="1" applyFont="1" applyFill="1" applyBorder="1" applyAlignment="1">
      <alignment horizontal="right" vertical="center" indent="1"/>
    </xf>
    <xf numFmtId="165" fontId="35" fillId="8" borderId="15" xfId="0" applyNumberFormat="1" applyFont="1" applyFill="1" applyBorder="1" applyAlignment="1">
      <alignment horizontal="right" vertical="center" indent="1"/>
    </xf>
    <xf numFmtId="165" fontId="35" fillId="8" borderId="19" xfId="0" applyNumberFormat="1" applyFont="1" applyFill="1" applyBorder="1" applyAlignment="1">
      <alignment horizontal="right" vertical="center" indent="1"/>
    </xf>
    <xf numFmtId="165" fontId="35" fillId="8" borderId="17" xfId="0" applyNumberFormat="1" applyFont="1" applyFill="1" applyBorder="1" applyAlignment="1">
      <alignment horizontal="right" vertical="center" indent="1"/>
    </xf>
    <xf numFmtId="0" fontId="15" fillId="4" borderId="22" xfId="0" applyFont="1" applyFill="1" applyBorder="1" applyAlignment="1">
      <alignment horizontal="left" vertical="center" indent="1"/>
    </xf>
    <xf numFmtId="0" fontId="15" fillId="6" borderId="18" xfId="0" applyFont="1" applyFill="1" applyBorder="1" applyAlignment="1">
      <alignment horizontal="left" vertical="center" indent="1"/>
    </xf>
    <xf numFmtId="0" fontId="6" fillId="2" borderId="0" xfId="0" applyFont="1" applyFill="1"/>
    <xf numFmtId="0" fontId="56" fillId="4" borderId="0" xfId="0" applyFont="1" applyFill="1" applyAlignment="1">
      <alignment vertical="center" wrapText="1" shrinkToFit="1"/>
    </xf>
    <xf numFmtId="0" fontId="22" fillId="2" borderId="0" xfId="0" applyFont="1" applyFill="1" applyAlignment="1">
      <alignment horizontal="center" vertical="center"/>
    </xf>
    <xf numFmtId="0" fontId="48" fillId="4" borderId="0" xfId="1" applyFont="1" applyFill="1" applyAlignment="1" applyProtection="1"/>
    <xf numFmtId="165" fontId="6" fillId="0" borderId="0" xfId="0" applyNumberFormat="1" applyFont="1"/>
    <xf numFmtId="0" fontId="6" fillId="2" borderId="0" xfId="0" applyFont="1" applyFill="1" applyBorder="1"/>
    <xf numFmtId="0" fontId="7" fillId="2" borderId="0" xfId="0" applyFont="1" applyFill="1"/>
    <xf numFmtId="0" fontId="7" fillId="2" borderId="0" xfId="0" applyFont="1" applyFill="1" applyBorder="1"/>
    <xf numFmtId="165" fontId="22" fillId="2" borderId="0" xfId="0" applyNumberFormat="1" applyFont="1" applyFill="1" applyBorder="1" applyAlignment="1">
      <alignment horizontal="right" indent="1"/>
    </xf>
    <xf numFmtId="0" fontId="60" fillId="2" borderId="0" xfId="1" applyFont="1" applyFill="1" applyAlignment="1" applyProtection="1"/>
    <xf numFmtId="0" fontId="60" fillId="2" borderId="0" xfId="1" applyFont="1" applyFill="1" applyBorder="1" applyAlignment="1" applyProtection="1"/>
    <xf numFmtId="0" fontId="41" fillId="6" borderId="13" xfId="0" applyFont="1" applyFill="1" applyBorder="1" applyAlignment="1">
      <alignment horizontal="center" vertical="center"/>
    </xf>
    <xf numFmtId="0" fontId="41" fillId="6" borderId="13" xfId="0" applyFont="1" applyFill="1" applyBorder="1" applyAlignment="1">
      <alignment horizontal="center" vertical="center" wrapText="1" shrinkToFit="1"/>
    </xf>
    <xf numFmtId="0" fontId="41" fillId="11" borderId="13" xfId="0" applyFont="1" applyFill="1" applyBorder="1" applyAlignment="1">
      <alignment horizontal="center" vertical="center"/>
    </xf>
    <xf numFmtId="0" fontId="41" fillId="8" borderId="13" xfId="0" applyFont="1" applyFill="1" applyBorder="1" applyAlignment="1">
      <alignment horizontal="center" vertical="center"/>
    </xf>
    <xf numFmtId="0" fontId="41" fillId="8" borderId="13" xfId="0" applyFont="1" applyFill="1" applyBorder="1" applyAlignment="1">
      <alignment horizontal="center" vertical="center" wrapText="1" shrinkToFit="1"/>
    </xf>
    <xf numFmtId="0" fontId="63" fillId="6" borderId="13" xfId="0" applyFont="1" applyFill="1" applyBorder="1" applyAlignment="1">
      <alignment horizontal="center" vertical="center"/>
    </xf>
    <xf numFmtId="0" fontId="63" fillId="11" borderId="13" xfId="0" applyFont="1" applyFill="1" applyBorder="1" applyAlignment="1">
      <alignment horizontal="center" vertical="center"/>
    </xf>
    <xf numFmtId="0" fontId="63" fillId="8" borderId="13" xfId="0" applyFont="1" applyFill="1" applyBorder="1" applyAlignment="1">
      <alignment horizontal="center" vertical="center"/>
    </xf>
    <xf numFmtId="0" fontId="57" fillId="2" borderId="0" xfId="0" applyFont="1" applyFill="1"/>
    <xf numFmtId="0" fontId="57" fillId="0" borderId="0" xfId="0" applyFont="1"/>
    <xf numFmtId="0" fontId="65" fillId="2" borderId="0" xfId="0" applyFont="1" applyFill="1"/>
    <xf numFmtId="0" fontId="67" fillId="2" borderId="0" xfId="1" applyFont="1" applyFill="1" applyAlignment="1" applyProtection="1">
      <alignment horizontal="right"/>
    </xf>
    <xf numFmtId="0" fontId="55" fillId="2" borderId="0" xfId="1" applyFont="1" applyFill="1" applyAlignment="1" applyProtection="1">
      <alignment horizontal="right"/>
    </xf>
    <xf numFmtId="0" fontId="68" fillId="2" borderId="0" xfId="1" applyFont="1" applyFill="1" applyAlignment="1" applyProtection="1">
      <alignment horizontal="right"/>
    </xf>
    <xf numFmtId="0" fontId="46" fillId="2" borderId="0" xfId="1" applyFont="1" applyFill="1" applyAlignment="1" applyProtection="1">
      <alignment horizontal="right"/>
    </xf>
    <xf numFmtId="0" fontId="27" fillId="2" borderId="0" xfId="1" applyFont="1" applyFill="1" applyAlignment="1" applyProtection="1">
      <alignment horizontal="right"/>
    </xf>
    <xf numFmtId="0" fontId="6" fillId="0" borderId="0" xfId="0" applyFont="1" applyFill="1"/>
    <xf numFmtId="0" fontId="6" fillId="2" borderId="0" xfId="0" applyFont="1" applyFill="1"/>
    <xf numFmtId="49" fontId="35" fillId="0" borderId="0" xfId="0" applyNumberFormat="1" applyFont="1" applyAlignment="1">
      <alignment horizontal="left" shrinkToFit="1" readingOrder="2"/>
    </xf>
    <xf numFmtId="0" fontId="6" fillId="2" borderId="0" xfId="0" applyFont="1" applyFill="1"/>
    <xf numFmtId="0" fontId="6" fillId="2" borderId="1" xfId="0" applyFont="1" applyFill="1" applyBorder="1"/>
    <xf numFmtId="0" fontId="6" fillId="2" borderId="2" xfId="0" applyFont="1" applyFill="1" applyBorder="1"/>
    <xf numFmtId="0" fontId="6" fillId="2" borderId="3" xfId="0" applyFont="1" applyFill="1" applyBorder="1"/>
    <xf numFmtId="0" fontId="6" fillId="2" borderId="4" xfId="0" applyFont="1" applyFill="1" applyBorder="1"/>
    <xf numFmtId="0" fontId="6" fillId="2" borderId="5" xfId="0" applyFont="1" applyFill="1" applyBorder="1"/>
    <xf numFmtId="0" fontId="71" fillId="2" borderId="0" xfId="0" applyFont="1" applyFill="1"/>
    <xf numFmtId="0" fontId="71" fillId="2" borderId="4" xfId="0" applyFont="1" applyFill="1" applyBorder="1"/>
    <xf numFmtId="0" fontId="71" fillId="2" borderId="0" xfId="0" applyFont="1" applyFill="1" applyBorder="1"/>
    <xf numFmtId="0" fontId="71" fillId="2" borderId="5" xfId="0" applyFont="1" applyFill="1" applyBorder="1"/>
    <xf numFmtId="0" fontId="71" fillId="0" borderId="0" xfId="0" applyFont="1"/>
    <xf numFmtId="0" fontId="6" fillId="2" borderId="6" xfId="0" applyFont="1" applyFill="1" applyBorder="1"/>
    <xf numFmtId="0" fontId="6" fillId="2" borderId="8" xfId="0" applyFont="1" applyFill="1" applyBorder="1"/>
    <xf numFmtId="0" fontId="73" fillId="2" borderId="0" xfId="0" applyFont="1" applyFill="1" applyBorder="1"/>
    <xf numFmtId="0" fontId="74" fillId="2" borderId="0" xfId="0" applyFont="1" applyFill="1" applyBorder="1" applyAlignment="1">
      <alignment vertical="center"/>
    </xf>
    <xf numFmtId="0" fontId="6" fillId="2" borderId="0" xfId="0" applyFont="1" applyFill="1"/>
    <xf numFmtId="0" fontId="43" fillId="11" borderId="20" xfId="0" applyFont="1" applyFill="1" applyBorder="1" applyAlignment="1">
      <alignment horizontal="center" vertical="center" wrapText="1" shrinkToFit="1"/>
    </xf>
    <xf numFmtId="165" fontId="35" fillId="15" borderId="18" xfId="0" applyNumberFormat="1" applyFont="1" applyFill="1" applyBorder="1" applyAlignment="1">
      <alignment horizontal="right" vertical="center" indent="1"/>
    </xf>
    <xf numFmtId="165" fontId="35" fillId="15" borderId="15" xfId="0" applyNumberFormat="1" applyFont="1" applyFill="1" applyBorder="1" applyAlignment="1">
      <alignment horizontal="right" vertical="center" indent="1"/>
    </xf>
    <xf numFmtId="0" fontId="20" fillId="12" borderId="28" xfId="0" applyFont="1" applyFill="1" applyBorder="1" applyAlignment="1">
      <alignment vertical="center"/>
    </xf>
    <xf numFmtId="0" fontId="35" fillId="15" borderId="14" xfId="0" applyFont="1" applyFill="1" applyBorder="1" applyAlignment="1">
      <alignment horizontal="left" vertical="center" indent="1"/>
    </xf>
    <xf numFmtId="165" fontId="64" fillId="2" borderId="19" xfId="0" applyNumberFormat="1" applyFont="1" applyFill="1" applyBorder="1" applyAlignment="1">
      <alignment horizontal="right" vertical="center" indent="1"/>
    </xf>
    <xf numFmtId="165" fontId="64" fillId="2" borderId="17" xfId="0" applyNumberFormat="1" applyFont="1" applyFill="1" applyBorder="1" applyAlignment="1">
      <alignment horizontal="right" vertical="center" indent="1"/>
    </xf>
    <xf numFmtId="0" fontId="67" fillId="2" borderId="0" xfId="1" applyFont="1" applyFill="1" applyAlignment="1" applyProtection="1"/>
    <xf numFmtId="0" fontId="6" fillId="2" borderId="0" xfId="0" applyFont="1" applyFill="1"/>
    <xf numFmtId="0" fontId="34" fillId="9" borderId="28" xfId="0" applyFont="1" applyFill="1" applyBorder="1" applyAlignment="1">
      <alignment vertical="center"/>
    </xf>
    <xf numFmtId="0" fontId="34" fillId="9" borderId="29" xfId="0" applyFont="1" applyFill="1" applyBorder="1" applyAlignment="1">
      <alignment vertical="center"/>
    </xf>
    <xf numFmtId="0" fontId="34" fillId="9" borderId="30" xfId="0" applyFont="1" applyFill="1" applyBorder="1" applyAlignment="1">
      <alignment vertical="center"/>
    </xf>
    <xf numFmtId="0" fontId="34" fillId="9" borderId="22" xfId="0" applyFont="1" applyFill="1" applyBorder="1" applyAlignment="1">
      <alignment horizontal="center" vertical="center" wrapText="1" shrinkToFit="1"/>
    </xf>
    <xf numFmtId="49" fontId="34" fillId="9" borderId="22" xfId="0" applyNumberFormat="1" applyFont="1" applyFill="1" applyBorder="1" applyAlignment="1">
      <alignment horizontal="center" vertical="center" wrapText="1" shrinkToFit="1"/>
    </xf>
    <xf numFmtId="16" fontId="34" fillId="9" borderId="22" xfId="0" applyNumberFormat="1" applyFont="1" applyFill="1" applyBorder="1" applyAlignment="1">
      <alignment horizontal="center" vertical="center" wrapText="1" shrinkToFit="1"/>
    </xf>
    <xf numFmtId="165" fontId="64" fillId="2" borderId="18" xfId="0" applyNumberFormat="1" applyFont="1" applyFill="1" applyBorder="1" applyAlignment="1">
      <alignment horizontal="right" vertical="center" indent="1"/>
    </xf>
    <xf numFmtId="0" fontId="34" fillId="2" borderId="18" xfId="0" applyFont="1" applyFill="1" applyBorder="1" applyAlignment="1">
      <alignment horizontal="center" vertical="center" wrapText="1" shrinkToFit="1"/>
    </xf>
    <xf numFmtId="0" fontId="77" fillId="2" borderId="0" xfId="0" applyFont="1" applyFill="1" applyAlignment="1"/>
    <xf numFmtId="0" fontId="20" fillId="9" borderId="28" xfId="0" applyFont="1" applyFill="1" applyBorder="1" applyAlignment="1">
      <alignment vertical="center"/>
    </xf>
    <xf numFmtId="165" fontId="50" fillId="2" borderId="17" xfId="0" applyNumberFormat="1" applyFont="1" applyFill="1" applyBorder="1" applyAlignment="1">
      <alignment horizontal="right" vertical="center" indent="1"/>
    </xf>
    <xf numFmtId="0" fontId="6" fillId="2" borderId="0" xfId="0" applyFont="1" applyFill="1"/>
    <xf numFmtId="0" fontId="6" fillId="16" borderId="0" xfId="0" applyFont="1" applyFill="1"/>
    <xf numFmtId="0" fontId="78" fillId="2" borderId="0" xfId="0" applyFont="1" applyFill="1" applyAlignment="1"/>
    <xf numFmtId="0" fontId="79" fillId="2" borderId="0" xfId="0" applyFont="1" applyFill="1" applyAlignment="1"/>
    <xf numFmtId="0" fontId="6" fillId="2" borderId="0" xfId="0" applyFont="1" applyFill="1" applyAlignment="1">
      <alignment horizontal="left" indent="4"/>
    </xf>
    <xf numFmtId="0" fontId="78" fillId="2" borderId="0" xfId="0" applyFont="1" applyFill="1" applyAlignment="1">
      <alignment horizontal="right"/>
    </xf>
    <xf numFmtId="0" fontId="7" fillId="16" borderId="0" xfId="0" applyFont="1" applyFill="1"/>
    <xf numFmtId="0" fontId="21" fillId="16" borderId="0" xfId="0" applyFont="1" applyFill="1"/>
    <xf numFmtId="0" fontId="21" fillId="16" borderId="0" xfId="0" applyFont="1" applyFill="1" applyAlignment="1">
      <alignment horizontal="left" indent="1"/>
    </xf>
    <xf numFmtId="0" fontId="36" fillId="2" borderId="0" xfId="0" applyFont="1" applyFill="1" applyAlignment="1">
      <alignment horizontal="right"/>
    </xf>
    <xf numFmtId="0" fontId="6" fillId="2" borderId="0" xfId="0" applyFont="1" applyFill="1"/>
    <xf numFmtId="0" fontId="30" fillId="10" borderId="13" xfId="0" applyFont="1" applyFill="1" applyBorder="1" applyAlignment="1">
      <alignment horizontal="center" vertical="center"/>
    </xf>
    <xf numFmtId="0" fontId="18" fillId="2" borderId="0" xfId="0" applyFont="1" applyFill="1" applyAlignment="1">
      <alignment horizontal="right"/>
    </xf>
    <xf numFmtId="0" fontId="7" fillId="0" borderId="0" xfId="0" applyFont="1" applyAlignment="1">
      <alignment horizontal="center"/>
    </xf>
    <xf numFmtId="0" fontId="34" fillId="3" borderId="0" xfId="0" applyFont="1" applyFill="1"/>
    <xf numFmtId="0" fontId="34" fillId="10" borderId="0" xfId="0" applyFont="1" applyFill="1"/>
    <xf numFmtId="3" fontId="15" fillId="4" borderId="22" xfId="0" applyNumberFormat="1" applyFont="1" applyFill="1" applyBorder="1" applyAlignment="1">
      <alignment horizontal="right" vertical="center" indent="3"/>
    </xf>
    <xf numFmtId="3" fontId="15" fillId="4" borderId="28" xfId="0" applyNumberFormat="1" applyFont="1" applyFill="1" applyBorder="1" applyAlignment="1">
      <alignment horizontal="right" vertical="center" indent="1"/>
    </xf>
    <xf numFmtId="3" fontId="15" fillId="11" borderId="18" xfId="0" applyNumberFormat="1" applyFont="1" applyFill="1" applyBorder="1" applyAlignment="1">
      <alignment horizontal="right" vertical="center" indent="3"/>
    </xf>
    <xf numFmtId="3" fontId="44" fillId="4" borderId="19" xfId="0" applyNumberFormat="1" applyFont="1" applyFill="1" applyBorder="1" applyAlignment="1">
      <alignment horizontal="right" vertical="center" indent="3"/>
    </xf>
    <xf numFmtId="3" fontId="15" fillId="11" borderId="14" xfId="0" applyNumberFormat="1" applyFont="1" applyFill="1" applyBorder="1" applyAlignment="1">
      <alignment horizontal="right" vertical="center" indent="1"/>
    </xf>
    <xf numFmtId="3" fontId="44" fillId="4" borderId="16" xfId="0" applyNumberFormat="1" applyFont="1" applyFill="1" applyBorder="1" applyAlignment="1">
      <alignment horizontal="right" vertical="center" indent="1"/>
    </xf>
    <xf numFmtId="0" fontId="34" fillId="12" borderId="0" xfId="0" applyFont="1" applyFill="1"/>
    <xf numFmtId="0" fontId="34" fillId="9" borderId="0" xfId="0" applyFont="1" applyFill="1"/>
    <xf numFmtId="3" fontId="15" fillId="4" borderId="22" xfId="0" applyNumberFormat="1" applyFont="1" applyFill="1" applyBorder="1" applyAlignment="1">
      <alignment horizontal="right" vertical="center" indent="2"/>
    </xf>
    <xf numFmtId="3" fontId="15" fillId="11" borderId="18" xfId="0" applyNumberFormat="1" applyFont="1" applyFill="1" applyBorder="1" applyAlignment="1">
      <alignment horizontal="right" vertical="center" indent="2"/>
    </xf>
    <xf numFmtId="3" fontId="44" fillId="4" borderId="19" xfId="0" applyNumberFormat="1" applyFont="1" applyFill="1" applyBorder="1" applyAlignment="1">
      <alignment horizontal="right" vertical="center" indent="2"/>
    </xf>
    <xf numFmtId="164" fontId="15" fillId="4" borderId="22" xfId="0" applyNumberFormat="1" applyFont="1" applyFill="1" applyBorder="1" applyAlignment="1">
      <alignment horizontal="right" vertical="center" indent="2"/>
    </xf>
    <xf numFmtId="164" fontId="15" fillId="11" borderId="18" xfId="0" applyNumberFormat="1" applyFont="1" applyFill="1" applyBorder="1" applyAlignment="1">
      <alignment horizontal="right" vertical="center" indent="2"/>
    </xf>
    <xf numFmtId="164" fontId="44" fillId="4" borderId="19" xfId="0" applyNumberFormat="1" applyFont="1" applyFill="1" applyBorder="1" applyAlignment="1">
      <alignment horizontal="right" vertical="center" indent="2"/>
    </xf>
    <xf numFmtId="0" fontId="43" fillId="2" borderId="0" xfId="0" applyFont="1" applyFill="1" applyBorder="1" applyAlignment="1">
      <alignment horizontal="center" vertical="center" wrapText="1" shrinkToFit="1"/>
    </xf>
    <xf numFmtId="164" fontId="15" fillId="2" borderId="0" xfId="0" applyNumberFormat="1" applyFont="1" applyFill="1" applyBorder="1" applyAlignment="1">
      <alignment horizontal="right" vertical="center" indent="2"/>
    </xf>
    <xf numFmtId="3" fontId="15" fillId="2" borderId="0" xfId="0" applyNumberFormat="1" applyFont="1" applyFill="1" applyBorder="1" applyAlignment="1">
      <alignment horizontal="right" vertical="center" indent="3"/>
    </xf>
    <xf numFmtId="3" fontId="15" fillId="2" borderId="0" xfId="0" applyNumberFormat="1" applyFont="1" applyFill="1" applyBorder="1" applyAlignment="1">
      <alignment horizontal="right" vertical="center" indent="2"/>
    </xf>
    <xf numFmtId="164" fontId="15" fillId="2" borderId="0" xfId="0" applyNumberFormat="1" applyFont="1" applyFill="1" applyBorder="1" applyAlignment="1">
      <alignment horizontal="right" vertical="center" indent="3"/>
    </xf>
    <xf numFmtId="164" fontId="44" fillId="2" borderId="0" xfId="0" applyNumberFormat="1" applyFont="1" applyFill="1" applyBorder="1" applyAlignment="1">
      <alignment horizontal="right" vertical="center" indent="2"/>
    </xf>
    <xf numFmtId="3" fontId="44" fillId="2" borderId="0" xfId="0" applyNumberFormat="1" applyFont="1" applyFill="1" applyBorder="1" applyAlignment="1">
      <alignment horizontal="right" vertical="center" indent="3"/>
    </xf>
    <xf numFmtId="3" fontId="44" fillId="2" borderId="0" xfId="0" applyNumberFormat="1" applyFont="1" applyFill="1" applyBorder="1" applyAlignment="1">
      <alignment horizontal="right" vertical="center" indent="2"/>
    </xf>
    <xf numFmtId="164" fontId="44" fillId="2" borderId="0" xfId="0" applyNumberFormat="1" applyFont="1" applyFill="1" applyBorder="1" applyAlignment="1">
      <alignment horizontal="right" vertical="center" indent="3"/>
    </xf>
    <xf numFmtId="0" fontId="38" fillId="10" borderId="13" xfId="0" applyFont="1" applyFill="1" applyBorder="1" applyAlignment="1">
      <alignment horizontal="center" vertical="center" wrapText="1" shrinkToFit="1"/>
    </xf>
    <xf numFmtId="164" fontId="15" fillId="2" borderId="18" xfId="0" applyNumberFormat="1" applyFont="1" applyFill="1" applyBorder="1" applyAlignment="1">
      <alignment horizontal="right" vertical="center" indent="3"/>
    </xf>
    <xf numFmtId="0" fontId="15" fillId="2" borderId="22" xfId="0" applyFont="1" applyFill="1" applyBorder="1" applyAlignment="1">
      <alignment horizontal="left" vertical="center" indent="1"/>
    </xf>
    <xf numFmtId="0" fontId="15" fillId="2" borderId="18" xfId="0" applyFont="1" applyFill="1" applyBorder="1" applyAlignment="1">
      <alignment horizontal="left" vertical="center" indent="1"/>
    </xf>
    <xf numFmtId="0" fontId="18" fillId="2" borderId="29" xfId="0" applyFont="1" applyFill="1" applyBorder="1" applyAlignment="1"/>
    <xf numFmtId="164" fontId="15" fillId="2" borderId="22" xfId="0" applyNumberFormat="1" applyFont="1" applyFill="1" applyBorder="1" applyAlignment="1">
      <alignment horizontal="right" vertical="center" indent="2"/>
    </xf>
    <xf numFmtId="164" fontId="15" fillId="2" borderId="18" xfId="0" applyNumberFormat="1" applyFont="1" applyFill="1" applyBorder="1" applyAlignment="1">
      <alignment horizontal="right" vertical="center" indent="2"/>
    </xf>
    <xf numFmtId="164" fontId="44" fillId="2" borderId="19" xfId="0" applyNumberFormat="1" applyFont="1" applyFill="1" applyBorder="1" applyAlignment="1">
      <alignment horizontal="right" vertical="center" indent="2"/>
    </xf>
    <xf numFmtId="165" fontId="7" fillId="0" borderId="0" xfId="0" applyNumberFormat="1" applyFont="1" applyAlignment="1">
      <alignment horizontal="right"/>
    </xf>
    <xf numFmtId="165" fontId="7" fillId="0" borderId="0" xfId="0" applyNumberFormat="1" applyFont="1" applyAlignment="1">
      <alignment horizontal="right" wrapText="1" shrinkToFit="1"/>
    </xf>
    <xf numFmtId="0" fontId="83" fillId="0" borderId="0" xfId="0" applyFont="1"/>
    <xf numFmtId="0" fontId="6" fillId="2" borderId="0" xfId="0" applyFont="1" applyFill="1"/>
    <xf numFmtId="1" fontId="7" fillId="0" borderId="0" xfId="0" applyNumberFormat="1" applyFont="1" applyAlignment="1">
      <alignment horizontal="right"/>
    </xf>
    <xf numFmtId="0" fontId="6" fillId="2" borderId="0" xfId="0" applyFont="1" applyFill="1"/>
    <xf numFmtId="0" fontId="44" fillId="2" borderId="0" xfId="0" applyFont="1" applyFill="1" applyAlignment="1">
      <alignment horizontal="left" indent="1"/>
    </xf>
    <xf numFmtId="0" fontId="17" fillId="2" borderId="0" xfId="0" applyFont="1" applyFill="1" applyAlignment="1">
      <alignment horizontal="left" indent="1"/>
    </xf>
    <xf numFmtId="0" fontId="50" fillId="2" borderId="0" xfId="0" applyFont="1" applyFill="1" applyAlignment="1">
      <alignment horizontal="left" indent="1"/>
    </xf>
    <xf numFmtId="0" fontId="6" fillId="9" borderId="0" xfId="0" applyFont="1" applyFill="1" applyAlignment="1">
      <alignment horizontal="center"/>
    </xf>
    <xf numFmtId="0" fontId="64" fillId="2" borderId="0" xfId="0" applyFont="1" applyFill="1" applyAlignment="1">
      <alignment horizontal="left" indent="1"/>
    </xf>
    <xf numFmtId="0" fontId="41" fillId="8" borderId="13" xfId="0" applyFont="1" applyFill="1" applyBorder="1" applyAlignment="1">
      <alignment horizontal="center" vertical="center" wrapText="1"/>
    </xf>
    <xf numFmtId="0" fontId="85" fillId="6" borderId="13" xfId="0" applyFont="1" applyFill="1" applyBorder="1" applyAlignment="1">
      <alignment horizontal="center" vertical="center"/>
    </xf>
    <xf numFmtId="0" fontId="85" fillId="6" borderId="13" xfId="0" applyFont="1" applyFill="1" applyBorder="1" applyAlignment="1">
      <alignment horizontal="center" vertical="center" wrapText="1"/>
    </xf>
    <xf numFmtId="0" fontId="62" fillId="2" borderId="13" xfId="0" applyFont="1" applyFill="1" applyBorder="1" applyAlignment="1">
      <alignment horizontal="left" vertical="center" indent="1"/>
    </xf>
    <xf numFmtId="165" fontId="62" fillId="2" borderId="13" xfId="0" applyNumberFormat="1" applyFont="1" applyFill="1" applyBorder="1" applyAlignment="1">
      <alignment horizontal="right" vertical="center" indent="2"/>
    </xf>
    <xf numFmtId="165" fontId="0" fillId="0" borderId="0" xfId="0" applyNumberFormat="1"/>
    <xf numFmtId="0" fontId="62" fillId="2" borderId="13" xfId="0" applyFont="1" applyFill="1" applyBorder="1" applyAlignment="1">
      <alignment horizontal="left" vertical="center" wrapText="1" indent="1" shrinkToFit="1"/>
    </xf>
    <xf numFmtId="3" fontId="62" fillId="2" borderId="13" xfId="0" applyNumberFormat="1" applyFont="1" applyFill="1" applyBorder="1" applyAlignment="1">
      <alignment horizontal="right" vertical="center"/>
    </xf>
    <xf numFmtId="0" fontId="85" fillId="11" borderId="13" xfId="0" applyFont="1" applyFill="1" applyBorder="1" applyAlignment="1">
      <alignment horizontal="center" vertical="center"/>
    </xf>
    <xf numFmtId="0" fontId="85" fillId="11" borderId="13" xfId="0" applyFont="1" applyFill="1" applyBorder="1" applyAlignment="1">
      <alignment horizontal="center" vertical="center" wrapText="1"/>
    </xf>
    <xf numFmtId="0" fontId="63" fillId="18" borderId="13" xfId="0" applyFont="1" applyFill="1" applyBorder="1" applyAlignment="1">
      <alignment horizontal="center" vertical="center"/>
    </xf>
    <xf numFmtId="0" fontId="41" fillId="18" borderId="13" xfId="0" applyFont="1" applyFill="1" applyBorder="1" applyAlignment="1">
      <alignment horizontal="center" vertical="center"/>
    </xf>
    <xf numFmtId="0" fontId="85" fillId="18" borderId="13" xfId="0" applyFont="1" applyFill="1" applyBorder="1" applyAlignment="1">
      <alignment horizontal="center" vertical="center"/>
    </xf>
    <xf numFmtId="0" fontId="85" fillId="18" borderId="13" xfId="0" applyFont="1" applyFill="1" applyBorder="1" applyAlignment="1">
      <alignment horizontal="center" vertical="center" wrapText="1"/>
    </xf>
    <xf numFmtId="0" fontId="85" fillId="8" borderId="13" xfId="0" applyFont="1" applyFill="1" applyBorder="1" applyAlignment="1">
      <alignment horizontal="center" vertical="center"/>
    </xf>
    <xf numFmtId="0" fontId="85" fillId="8" borderId="20" xfId="0" applyFont="1" applyFill="1" applyBorder="1" applyAlignment="1">
      <alignment horizontal="center" vertical="center" wrapText="1"/>
    </xf>
    <xf numFmtId="0" fontId="62" fillId="2" borderId="20" xfId="0" applyFont="1" applyFill="1" applyBorder="1" applyAlignment="1">
      <alignment horizontal="left" vertical="center" wrapText="1" indent="1" shrinkToFit="1"/>
    </xf>
    <xf numFmtId="0" fontId="62" fillId="2" borderId="13" xfId="0" applyFont="1" applyFill="1" applyBorder="1" applyAlignment="1">
      <alignment horizontal="left" vertical="center" wrapText="1" indent="1"/>
    </xf>
    <xf numFmtId="164" fontId="62" fillId="2" borderId="13" xfId="0" applyNumberFormat="1" applyFont="1" applyFill="1" applyBorder="1" applyAlignment="1">
      <alignment horizontal="right" vertical="center" indent="2"/>
    </xf>
    <xf numFmtId="164" fontId="62" fillId="2" borderId="20" xfId="0" applyNumberFormat="1" applyFont="1" applyFill="1" applyBorder="1" applyAlignment="1">
      <alignment horizontal="right" vertical="center" indent="2"/>
    </xf>
    <xf numFmtId="165" fontId="62" fillId="2" borderId="20" xfId="0" applyNumberFormat="1" applyFont="1" applyFill="1" applyBorder="1" applyAlignment="1">
      <alignment horizontal="right" vertical="center" indent="2"/>
    </xf>
    <xf numFmtId="0" fontId="6" fillId="4" borderId="0" xfId="0" applyFont="1" applyFill="1"/>
    <xf numFmtId="0" fontId="7" fillId="6" borderId="0" xfId="0" applyFont="1" applyFill="1"/>
    <xf numFmtId="165" fontId="7" fillId="6" borderId="0" xfId="0" applyNumberFormat="1" applyFont="1" applyFill="1"/>
    <xf numFmtId="0" fontId="6" fillId="2" borderId="29" xfId="0" applyFont="1" applyFill="1" applyBorder="1"/>
    <xf numFmtId="0" fontId="6" fillId="2" borderId="34" xfId="0" applyFont="1" applyFill="1" applyBorder="1"/>
    <xf numFmtId="0" fontId="85" fillId="6" borderId="23" xfId="0" applyFont="1" applyFill="1" applyBorder="1" applyAlignment="1">
      <alignment horizontal="center" vertical="center" wrapText="1"/>
    </xf>
    <xf numFmtId="165" fontId="41" fillId="2" borderId="15" xfId="0" applyNumberFormat="1" applyFont="1" applyFill="1" applyBorder="1" applyAlignment="1">
      <alignment horizontal="left" vertical="center"/>
    </xf>
    <xf numFmtId="3" fontId="41" fillId="2" borderId="28" xfId="0" applyNumberFormat="1" applyFont="1" applyFill="1" applyBorder="1" applyAlignment="1">
      <alignment vertical="center"/>
    </xf>
    <xf numFmtId="165" fontId="41" fillId="2" borderId="14" xfId="0" applyNumberFormat="1" applyFont="1" applyFill="1" applyBorder="1" applyAlignment="1">
      <alignment vertical="center"/>
    </xf>
    <xf numFmtId="165" fontId="41" fillId="2" borderId="16" xfId="0" applyNumberFormat="1" applyFont="1" applyFill="1" applyBorder="1" applyAlignment="1">
      <alignment vertical="center"/>
    </xf>
    <xf numFmtId="0" fontId="87" fillId="2" borderId="30" xfId="0" applyFont="1" applyFill="1" applyBorder="1" applyAlignment="1">
      <alignment horizontal="left"/>
    </xf>
    <xf numFmtId="0" fontId="6" fillId="2" borderId="0" xfId="0" applyFont="1" applyFill="1"/>
    <xf numFmtId="165" fontId="62" fillId="2" borderId="13" xfId="0" applyNumberFormat="1" applyFont="1" applyFill="1" applyBorder="1" applyAlignment="1">
      <alignment horizontal="right" vertical="center" indent="1"/>
    </xf>
    <xf numFmtId="0" fontId="6" fillId="2" borderId="0" xfId="0" applyFont="1" applyFill="1"/>
    <xf numFmtId="0" fontId="6" fillId="13" borderId="0" xfId="0" applyFont="1" applyFill="1" applyAlignment="1">
      <alignment horizontal="center"/>
    </xf>
    <xf numFmtId="0" fontId="6" fillId="12" borderId="0" xfId="0" applyFont="1" applyFill="1" applyAlignment="1">
      <alignment horizontal="center"/>
    </xf>
    <xf numFmtId="0" fontId="6" fillId="10" borderId="0" xfId="0" applyFont="1" applyFill="1" applyAlignment="1">
      <alignment horizontal="center"/>
    </xf>
    <xf numFmtId="0" fontId="6" fillId="2" borderId="0" xfId="0" applyFont="1" applyFill="1"/>
    <xf numFmtId="0" fontId="6" fillId="13" borderId="0" xfId="0" applyFont="1" applyFill="1"/>
    <xf numFmtId="0" fontId="85" fillId="11" borderId="23" xfId="0" applyFont="1" applyFill="1" applyBorder="1" applyAlignment="1">
      <alignment horizontal="center" vertical="center" wrapText="1"/>
    </xf>
    <xf numFmtId="0" fontId="85" fillId="18" borderId="23" xfId="0" applyFont="1" applyFill="1" applyBorder="1" applyAlignment="1">
      <alignment horizontal="center" vertical="center" wrapText="1"/>
    </xf>
    <xf numFmtId="0" fontId="85" fillId="8" borderId="23" xfId="0" applyFont="1" applyFill="1" applyBorder="1" applyAlignment="1">
      <alignment horizontal="center" vertical="center" wrapText="1"/>
    </xf>
    <xf numFmtId="0" fontId="86" fillId="18" borderId="20" xfId="0" applyFont="1" applyFill="1" applyBorder="1" applyAlignment="1">
      <alignment horizontal="right" wrapText="1"/>
    </xf>
    <xf numFmtId="0" fontId="86" fillId="6" borderId="20" xfId="0" applyFont="1" applyFill="1" applyBorder="1" applyAlignment="1">
      <alignment horizontal="right" wrapText="1"/>
    </xf>
    <xf numFmtId="0" fontId="86" fillId="11" borderId="20" xfId="0" applyFont="1" applyFill="1" applyBorder="1" applyAlignment="1">
      <alignment horizontal="right" wrapText="1"/>
    </xf>
    <xf numFmtId="0" fontId="86" fillId="8" borderId="20" xfId="0" applyFont="1" applyFill="1" applyBorder="1" applyAlignment="1">
      <alignment horizontal="right" wrapText="1"/>
    </xf>
    <xf numFmtId="0" fontId="86" fillId="6" borderId="21" xfId="0" applyFont="1" applyFill="1" applyBorder="1" applyAlignment="1">
      <alignment horizontal="left" wrapText="1"/>
    </xf>
    <xf numFmtId="0" fontId="86" fillId="11" borderId="21" xfId="0" applyFont="1" applyFill="1" applyBorder="1" applyAlignment="1">
      <alignment horizontal="left" wrapText="1"/>
    </xf>
    <xf numFmtId="0" fontId="86" fillId="18" borderId="21" xfId="0" applyFont="1" applyFill="1" applyBorder="1" applyAlignment="1">
      <alignment horizontal="left" wrapText="1"/>
    </xf>
    <xf numFmtId="0" fontId="86" fillId="8" borderId="21" xfId="0" applyFont="1" applyFill="1" applyBorder="1" applyAlignment="1">
      <alignment horizontal="left" wrapText="1"/>
    </xf>
    <xf numFmtId="0" fontId="6" fillId="10" borderId="0" xfId="0" applyFont="1" applyFill="1"/>
    <xf numFmtId="0" fontId="6" fillId="12" borderId="0" xfId="0" applyFont="1" applyFill="1"/>
    <xf numFmtId="0" fontId="6" fillId="9" borderId="0" xfId="0" applyFont="1" applyFill="1"/>
    <xf numFmtId="2" fontId="7" fillId="6" borderId="0" xfId="0" applyNumberFormat="1" applyFont="1" applyFill="1"/>
    <xf numFmtId="2" fontId="41" fillId="2" borderId="14" xfId="0" applyNumberFormat="1" applyFont="1" applyFill="1" applyBorder="1" applyAlignment="1">
      <alignment vertical="center"/>
    </xf>
    <xf numFmtId="2" fontId="62" fillId="2" borderId="13" xfId="0" applyNumberFormat="1" applyFont="1" applyFill="1" applyBorder="1" applyAlignment="1">
      <alignment horizontal="right" vertical="center" indent="1"/>
    </xf>
    <xf numFmtId="165" fontId="7" fillId="0" borderId="0" xfId="0" applyNumberFormat="1" applyFont="1" applyFill="1" applyAlignment="1">
      <alignment wrapText="1" shrinkToFit="1"/>
    </xf>
    <xf numFmtId="16" fontId="8" fillId="0" borderId="0" xfId="0" quotePrefix="1" applyNumberFormat="1" applyFont="1" applyAlignment="1">
      <alignment horizontal="center"/>
    </xf>
    <xf numFmtId="0" fontId="8" fillId="0" borderId="0" xfId="0" quotePrefix="1" applyFont="1" applyAlignment="1">
      <alignment horizontal="center"/>
    </xf>
    <xf numFmtId="0" fontId="34" fillId="14" borderId="0" xfId="0" applyFont="1" applyFill="1"/>
    <xf numFmtId="0" fontId="7" fillId="0" borderId="0" xfId="0" applyFont="1" applyAlignment="1">
      <alignment vertical="center"/>
    </xf>
    <xf numFmtId="0" fontId="88" fillId="13" borderId="0" xfId="0" applyFont="1" applyFill="1" applyAlignment="1">
      <alignment wrapText="1"/>
    </xf>
    <xf numFmtId="0" fontId="88" fillId="13" borderId="0" xfId="0" applyFont="1" applyFill="1"/>
    <xf numFmtId="0" fontId="89" fillId="13" borderId="0" xfId="0" applyFont="1" applyFill="1" applyAlignment="1">
      <alignment wrapText="1"/>
    </xf>
    <xf numFmtId="0" fontId="89" fillId="10" borderId="0" xfId="0" applyFont="1" applyFill="1" applyAlignment="1">
      <alignment wrapText="1" shrinkToFit="1"/>
    </xf>
    <xf numFmtId="164" fontId="62" fillId="2" borderId="13" xfId="0" applyNumberFormat="1" applyFont="1" applyFill="1" applyBorder="1" applyAlignment="1">
      <alignment horizontal="right" vertical="center" indent="1"/>
    </xf>
    <xf numFmtId="49" fontId="34" fillId="12" borderId="22" xfId="0" quotePrefix="1" applyNumberFormat="1" applyFont="1" applyFill="1" applyBorder="1" applyAlignment="1">
      <alignment horizontal="center" vertical="center" wrapText="1" shrinkToFit="1"/>
    </xf>
    <xf numFmtId="0" fontId="7" fillId="0" borderId="0" xfId="0" applyFont="1" applyAlignment="1">
      <alignment horizontal="center" wrapText="1" shrinkToFit="1"/>
    </xf>
    <xf numFmtId="0" fontId="35" fillId="0" borderId="0" xfId="0" applyFont="1"/>
    <xf numFmtId="0" fontId="6" fillId="2" borderId="0" xfId="0" applyFont="1" applyFill="1"/>
    <xf numFmtId="165" fontId="7" fillId="17" borderId="0" xfId="0" applyNumberFormat="1" applyFont="1" applyFill="1" applyBorder="1"/>
    <xf numFmtId="165" fontId="7" fillId="17" borderId="0" xfId="0" applyNumberFormat="1" applyFont="1" applyFill="1" applyAlignment="1">
      <alignment horizontal="right" shrinkToFit="1"/>
    </xf>
    <xf numFmtId="1" fontId="7" fillId="17" borderId="0" xfId="0" applyNumberFormat="1" applyFont="1" applyFill="1" applyBorder="1"/>
    <xf numFmtId="165" fontId="0" fillId="0" borderId="0" xfId="0" applyNumberFormat="1" applyFill="1"/>
    <xf numFmtId="165" fontId="7" fillId="16" borderId="0" xfId="0" applyNumberFormat="1" applyFont="1" applyFill="1"/>
    <xf numFmtId="0" fontId="89" fillId="10" borderId="0" xfId="0" applyFont="1" applyFill="1" applyAlignment="1">
      <alignment wrapText="1"/>
    </xf>
    <xf numFmtId="165" fontId="41" fillId="2" borderId="17" xfId="0" applyNumberFormat="1" applyFont="1" applyFill="1" applyBorder="1" applyAlignment="1">
      <alignment horizontal="left" vertical="center"/>
    </xf>
    <xf numFmtId="165" fontId="7" fillId="0" borderId="0" xfId="0" applyNumberFormat="1" applyFont="1" applyFill="1" applyBorder="1"/>
    <xf numFmtId="0" fontId="41" fillId="8" borderId="13" xfId="0" quotePrefix="1" applyFont="1" applyFill="1" applyBorder="1" applyAlignment="1">
      <alignment horizontal="center" vertical="center" wrapText="1"/>
    </xf>
    <xf numFmtId="0" fontId="41" fillId="15" borderId="13" xfId="0" applyFont="1" applyFill="1" applyBorder="1" applyAlignment="1">
      <alignment horizontal="center" vertical="center" wrapText="1" shrinkToFit="1"/>
    </xf>
    <xf numFmtId="0" fontId="41" fillId="15" borderId="13" xfId="0" quotePrefix="1" applyFont="1" applyFill="1" applyBorder="1" applyAlignment="1">
      <alignment horizontal="center" vertical="center" wrapText="1" shrinkToFit="1"/>
    </xf>
    <xf numFmtId="0" fontId="41" fillId="8" borderId="13" xfId="0" quotePrefix="1" applyFont="1" applyFill="1" applyBorder="1" applyAlignment="1">
      <alignment horizontal="center" vertical="center"/>
    </xf>
    <xf numFmtId="0" fontId="89" fillId="12" borderId="0" xfId="0" applyFont="1" applyFill="1" applyAlignment="1">
      <alignment wrapText="1"/>
    </xf>
    <xf numFmtId="0" fontId="89" fillId="9" borderId="0" xfId="0" applyFont="1" applyFill="1" applyAlignment="1">
      <alignment wrapText="1"/>
    </xf>
    <xf numFmtId="0" fontId="90" fillId="2" borderId="40" xfId="0" applyFont="1" applyFill="1" applyBorder="1" applyAlignment="1">
      <alignment horizontal="left" vertical="center" indent="2"/>
    </xf>
    <xf numFmtId="0" fontId="3" fillId="16" borderId="40" xfId="0" applyFont="1" applyFill="1" applyBorder="1" applyAlignment="1">
      <alignment horizontal="left" vertical="center" indent="1"/>
    </xf>
    <xf numFmtId="0" fontId="90" fillId="16" borderId="40" xfId="0" applyFont="1" applyFill="1" applyBorder="1" applyAlignment="1">
      <alignment horizontal="left" vertical="center" indent="1"/>
    </xf>
    <xf numFmtId="165" fontId="35" fillId="2" borderId="40" xfId="0" applyNumberFormat="1" applyFont="1" applyFill="1" applyBorder="1" applyAlignment="1">
      <alignment horizontal="right" vertical="center" wrapText="1" indent="1" shrinkToFit="1"/>
    </xf>
    <xf numFmtId="165" fontId="3" fillId="16" borderId="40" xfId="0" applyNumberFormat="1" applyFont="1" applyFill="1" applyBorder="1" applyAlignment="1">
      <alignment horizontal="right" vertical="center" indent="1"/>
    </xf>
    <xf numFmtId="165" fontId="90" fillId="16" borderId="40" xfId="0" applyNumberFormat="1" applyFont="1" applyFill="1" applyBorder="1" applyAlignment="1">
      <alignment horizontal="right" vertical="center" indent="1"/>
    </xf>
    <xf numFmtId="165" fontId="90" fillId="2" borderId="40" xfId="0" applyNumberFormat="1" applyFont="1" applyFill="1" applyBorder="1" applyAlignment="1">
      <alignment horizontal="right" vertical="center" indent="1"/>
    </xf>
    <xf numFmtId="0" fontId="58" fillId="8" borderId="40" xfId="0" applyFont="1" applyFill="1" applyBorder="1" applyAlignment="1">
      <alignment vertical="center"/>
    </xf>
    <xf numFmtId="165" fontId="3" fillId="8" borderId="40" xfId="0" applyNumberFormat="1" applyFont="1" applyFill="1" applyBorder="1" applyAlignment="1">
      <alignment horizontal="right" vertical="center" indent="1"/>
    </xf>
    <xf numFmtId="0" fontId="6" fillId="4" borderId="0" xfId="0" applyFont="1" applyFill="1"/>
    <xf numFmtId="164" fontId="15" fillId="11" borderId="19" xfId="0" applyNumberFormat="1" applyFont="1" applyFill="1" applyBorder="1" applyAlignment="1">
      <alignment horizontal="right" vertical="center" indent="3"/>
    </xf>
    <xf numFmtId="3" fontId="44" fillId="4" borderId="18" xfId="0" applyNumberFormat="1" applyFont="1" applyFill="1" applyBorder="1" applyAlignment="1">
      <alignment horizontal="right" vertical="center" indent="3"/>
    </xf>
    <xf numFmtId="3" fontId="15" fillId="4" borderId="18" xfId="0" applyNumberFormat="1" applyFont="1" applyFill="1" applyBorder="1" applyAlignment="1">
      <alignment horizontal="right" vertical="center" indent="3"/>
    </xf>
    <xf numFmtId="3" fontId="15" fillId="2" borderId="18" xfId="0" applyNumberFormat="1" applyFont="1" applyFill="1" applyBorder="1" applyAlignment="1">
      <alignment horizontal="right" vertical="center" indent="3"/>
    </xf>
    <xf numFmtId="3" fontId="15" fillId="11" borderId="19" xfId="0" applyNumberFormat="1" applyFont="1" applyFill="1" applyBorder="1" applyAlignment="1">
      <alignment horizontal="right" vertical="center" indent="3"/>
    </xf>
    <xf numFmtId="0" fontId="40" fillId="4" borderId="0" xfId="1" applyFont="1" applyFill="1" applyAlignment="1" applyProtection="1">
      <alignment horizontal="left"/>
    </xf>
    <xf numFmtId="0" fontId="6" fillId="4" borderId="0" xfId="0" applyFont="1" applyFill="1"/>
    <xf numFmtId="0" fontId="57" fillId="8" borderId="20" xfId="0" applyFont="1" applyFill="1" applyBorder="1" applyAlignment="1">
      <alignment horizontal="left" indent="1"/>
    </xf>
    <xf numFmtId="0" fontId="89" fillId="9" borderId="0" xfId="0" applyFont="1" applyFill="1" applyAlignment="1">
      <alignment horizontal="left" wrapText="1" shrinkToFit="1"/>
    </xf>
    <xf numFmtId="0" fontId="89" fillId="9" borderId="0" xfId="0" applyFont="1" applyFill="1" applyAlignment="1">
      <alignment horizontal="center"/>
    </xf>
    <xf numFmtId="0" fontId="6" fillId="8" borderId="23" xfId="0" applyFont="1" applyFill="1" applyBorder="1"/>
    <xf numFmtId="0" fontId="39" fillId="8" borderId="21" xfId="0" applyFont="1" applyFill="1" applyBorder="1"/>
    <xf numFmtId="0" fontId="6" fillId="2" borderId="0" xfId="0" applyFont="1" applyFill="1"/>
    <xf numFmtId="0" fontId="6" fillId="2" borderId="0" xfId="0" applyFont="1" applyFill="1"/>
    <xf numFmtId="0" fontId="6" fillId="2" borderId="0" xfId="0" applyFont="1" applyFill="1"/>
    <xf numFmtId="0" fontId="35" fillId="8" borderId="14" xfId="0" applyFont="1" applyFill="1" applyBorder="1" applyAlignment="1">
      <alignment horizontal="left" vertical="center" indent="1"/>
    </xf>
    <xf numFmtId="0" fontId="50" fillId="2" borderId="16" xfId="0" applyFont="1" applyFill="1" applyBorder="1" applyAlignment="1">
      <alignment horizontal="left" vertical="center" indent="1"/>
    </xf>
    <xf numFmtId="165" fontId="6" fillId="0" borderId="0" xfId="0" applyNumberFormat="1" applyFont="1" applyFill="1"/>
    <xf numFmtId="0" fontId="7" fillId="2" borderId="0" xfId="0" applyFont="1" applyFill="1" applyAlignment="1"/>
    <xf numFmtId="0" fontId="6" fillId="2" borderId="0" xfId="0" applyFont="1" applyFill="1"/>
    <xf numFmtId="0" fontId="6" fillId="2" borderId="0" xfId="0" applyFont="1" applyFill="1"/>
    <xf numFmtId="0" fontId="6" fillId="4" borderId="0" xfId="0" applyFont="1" applyFill="1"/>
    <xf numFmtId="0" fontId="6" fillId="3" borderId="27" xfId="0" applyFont="1" applyFill="1" applyBorder="1"/>
    <xf numFmtId="0" fontId="6" fillId="19" borderId="27" xfId="0" applyFont="1" applyFill="1" applyBorder="1"/>
    <xf numFmtId="0" fontId="6" fillId="20" borderId="27" xfId="0" applyFont="1" applyFill="1" applyBorder="1"/>
    <xf numFmtId="0" fontId="6" fillId="7" borderId="27" xfId="0" applyFont="1" applyFill="1" applyBorder="1"/>
    <xf numFmtId="0" fontId="15" fillId="11" borderId="18" xfId="0" applyFont="1" applyFill="1" applyBorder="1" applyAlignment="1">
      <alignment horizontal="left" vertical="center" wrapText="1" indent="1"/>
    </xf>
    <xf numFmtId="0" fontId="15" fillId="4" borderId="18" xfId="0" applyFont="1" applyFill="1" applyBorder="1" applyAlignment="1">
      <alignment horizontal="left" vertical="center" wrapText="1" indent="1"/>
    </xf>
    <xf numFmtId="0" fontId="15" fillId="2" borderId="18" xfId="0" applyFont="1" applyFill="1" applyBorder="1" applyAlignment="1">
      <alignment horizontal="left" vertical="center" wrapText="1" indent="1"/>
    </xf>
    <xf numFmtId="0" fontId="15" fillId="11" borderId="19" xfId="0" applyFont="1" applyFill="1" applyBorder="1" applyAlignment="1">
      <alignment horizontal="left" vertical="center" wrapText="1" indent="1"/>
    </xf>
    <xf numFmtId="0" fontId="6" fillId="2" borderId="0" xfId="0" applyFont="1" applyFill="1"/>
    <xf numFmtId="0" fontId="6" fillId="2" borderId="0" xfId="0" applyFont="1" applyFill="1"/>
    <xf numFmtId="0" fontId="6" fillId="2" borderId="0" xfId="0" applyFont="1" applyFill="1"/>
    <xf numFmtId="0" fontId="7" fillId="0" borderId="0" xfId="0" applyFont="1" applyAlignment="1">
      <alignment horizontal="center"/>
    </xf>
    <xf numFmtId="164" fontId="15" fillId="4" borderId="28" xfId="0" applyNumberFormat="1" applyFont="1" applyFill="1" applyBorder="1" applyAlignment="1">
      <alignment horizontal="center" vertical="center"/>
    </xf>
    <xf numFmtId="164" fontId="15" fillId="11" borderId="14" xfId="0" applyNumberFormat="1" applyFont="1" applyFill="1" applyBorder="1" applyAlignment="1">
      <alignment horizontal="center" vertical="center"/>
    </xf>
    <xf numFmtId="164" fontId="44" fillId="4" borderId="14" xfId="0" applyNumberFormat="1" applyFont="1" applyFill="1" applyBorder="1" applyAlignment="1">
      <alignment horizontal="center" vertical="center"/>
    </xf>
    <xf numFmtId="164" fontId="15" fillId="4" borderId="14" xfId="0" applyNumberFormat="1" applyFont="1" applyFill="1" applyBorder="1" applyAlignment="1">
      <alignment horizontal="center" vertical="center"/>
    </xf>
    <xf numFmtId="164" fontId="15" fillId="2" borderId="14" xfId="0" applyNumberFormat="1" applyFont="1" applyFill="1" applyBorder="1" applyAlignment="1">
      <alignment horizontal="center" vertical="center"/>
    </xf>
    <xf numFmtId="164" fontId="15" fillId="11" borderId="16" xfId="0" applyNumberFormat="1" applyFont="1" applyFill="1" applyBorder="1" applyAlignment="1">
      <alignment horizontal="center" vertical="center"/>
    </xf>
    <xf numFmtId="0" fontId="6" fillId="2" borderId="0" xfId="0" applyFont="1" applyFill="1"/>
    <xf numFmtId="0" fontId="6" fillId="2" borderId="0" xfId="0" applyFont="1" applyFill="1"/>
    <xf numFmtId="0" fontId="7" fillId="2" borderId="0" xfId="0" applyFont="1" applyFill="1"/>
    <xf numFmtId="2" fontId="41" fillId="2" borderId="15" xfId="0" applyNumberFormat="1" applyFont="1" applyFill="1" applyBorder="1" applyAlignment="1">
      <alignment horizontal="left" vertical="center"/>
    </xf>
    <xf numFmtId="0" fontId="9" fillId="8" borderId="0" xfId="0" applyFont="1" applyFill="1"/>
    <xf numFmtId="0" fontId="7" fillId="8" borderId="0" xfId="0" applyFont="1" applyFill="1"/>
    <xf numFmtId="165" fontId="7" fillId="8" borderId="0" xfId="0" applyNumberFormat="1" applyFont="1" applyFill="1"/>
    <xf numFmtId="1" fontId="7" fillId="8" borderId="0" xfId="0" applyNumberFormat="1" applyFont="1" applyFill="1"/>
    <xf numFmtId="2" fontId="7" fillId="8" borderId="0" xfId="0" applyNumberFormat="1" applyFont="1" applyFill="1"/>
    <xf numFmtId="0" fontId="6" fillId="2" borderId="0" xfId="0" applyFont="1" applyFill="1"/>
    <xf numFmtId="0" fontId="30" fillId="10" borderId="13" xfId="0" applyFont="1" applyFill="1" applyBorder="1" applyAlignment="1">
      <alignment horizontal="center" vertical="center"/>
    </xf>
    <xf numFmtId="0" fontId="37" fillId="11" borderId="23" xfId="0" applyFont="1" applyFill="1" applyBorder="1" applyAlignment="1">
      <alignment horizontal="left" vertical="center"/>
    </xf>
    <xf numFmtId="0" fontId="37" fillId="11" borderId="21" xfId="0" applyFont="1" applyFill="1" applyBorder="1" applyAlignment="1">
      <alignment horizontal="left" vertical="center"/>
    </xf>
    <xf numFmtId="0" fontId="6" fillId="2" borderId="0" xfId="0" applyFont="1" applyFill="1"/>
    <xf numFmtId="165" fontId="40" fillId="0" borderId="0" xfId="0" applyNumberFormat="1" applyFont="1"/>
    <xf numFmtId="17" fontId="38" fillId="10" borderId="13" xfId="0" applyNumberFormat="1" applyFont="1" applyFill="1" applyBorder="1" applyAlignment="1">
      <alignment horizontal="center" vertical="center" wrapText="1" shrinkToFit="1"/>
    </xf>
    <xf numFmtId="0" fontId="41" fillId="2" borderId="0" xfId="0" applyFont="1" applyFill="1" applyAlignment="1">
      <alignment wrapText="1" shrinkToFit="1"/>
    </xf>
    <xf numFmtId="0" fontId="43" fillId="2" borderId="18" xfId="0" applyFont="1" applyFill="1" applyBorder="1" applyAlignment="1">
      <alignment horizontal="left" vertical="center" indent="2"/>
    </xf>
    <xf numFmtId="0" fontId="43" fillId="2" borderId="19" xfId="0" applyFont="1" applyFill="1" applyBorder="1" applyAlignment="1">
      <alignment horizontal="left" vertical="center" wrapText="1" indent="2"/>
    </xf>
    <xf numFmtId="3" fontId="15" fillId="2" borderId="22" xfId="0" applyNumberFormat="1" applyFont="1" applyFill="1" applyBorder="1" applyAlignment="1">
      <alignment horizontal="right" vertical="center" indent="2"/>
    </xf>
    <xf numFmtId="3" fontId="15" fillId="2" borderId="18" xfId="0" applyNumberFormat="1" applyFont="1" applyFill="1" applyBorder="1" applyAlignment="1">
      <alignment horizontal="right" vertical="center" indent="2"/>
    </xf>
    <xf numFmtId="3" fontId="44" fillId="2" borderId="42" xfId="0" applyNumberFormat="1" applyFont="1" applyFill="1" applyBorder="1" applyAlignment="1">
      <alignment horizontal="right" vertical="center" indent="2"/>
    </xf>
    <xf numFmtId="3" fontId="43" fillId="2" borderId="18" xfId="0" applyNumberFormat="1" applyFont="1" applyFill="1" applyBorder="1" applyAlignment="1">
      <alignment horizontal="right" vertical="center" indent="2"/>
    </xf>
    <xf numFmtId="3" fontId="43" fillId="2" borderId="19" xfId="0" applyNumberFormat="1" applyFont="1" applyFill="1" applyBorder="1" applyAlignment="1">
      <alignment horizontal="right" vertical="center" indent="2"/>
    </xf>
    <xf numFmtId="0" fontId="30" fillId="10" borderId="13" xfId="0" applyFont="1" applyFill="1" applyBorder="1" applyAlignment="1">
      <alignment horizontal="center" vertical="center"/>
    </xf>
    <xf numFmtId="0" fontId="30" fillId="2" borderId="0" xfId="0" applyFont="1" applyFill="1" applyBorder="1" applyAlignment="1">
      <alignment vertical="center"/>
    </xf>
    <xf numFmtId="0" fontId="6" fillId="2" borderId="0" xfId="0" applyFont="1" applyFill="1"/>
    <xf numFmtId="0" fontId="43" fillId="11" borderId="13" xfId="0" applyFont="1" applyFill="1" applyBorder="1" applyAlignment="1">
      <alignment horizontal="center" vertical="center"/>
    </xf>
    <xf numFmtId="0" fontId="7" fillId="0" borderId="0" xfId="0" applyFont="1" applyAlignment="1">
      <alignment horizontal="center"/>
    </xf>
    <xf numFmtId="0" fontId="6" fillId="2" borderId="0" xfId="0" applyFont="1" applyFill="1"/>
    <xf numFmtId="0" fontId="43" fillId="11" borderId="13" xfId="0" applyFont="1" applyFill="1" applyBorder="1" applyAlignment="1">
      <alignment horizontal="center" vertical="center" wrapText="1" shrinkToFit="1"/>
    </xf>
    <xf numFmtId="0" fontId="6" fillId="4" borderId="0" xfId="0" applyFont="1" applyFill="1"/>
    <xf numFmtId="0" fontId="95" fillId="0" borderId="0" xfId="0" applyFont="1" applyAlignment="1">
      <alignment horizontal="center"/>
    </xf>
    <xf numFmtId="0" fontId="7" fillId="0" borderId="0" xfId="0" applyFont="1" applyFill="1" applyAlignment="1">
      <alignment wrapText="1" shrinkToFit="1"/>
    </xf>
    <xf numFmtId="165" fontId="7" fillId="17" borderId="0" xfId="0" applyNumberFormat="1" applyFont="1" applyFill="1" applyAlignment="1">
      <alignment wrapText="1" shrinkToFit="1"/>
    </xf>
    <xf numFmtId="0" fontId="15" fillId="2" borderId="22" xfId="0" applyFont="1" applyFill="1" applyBorder="1" applyAlignment="1">
      <alignment horizontal="left" vertical="center"/>
    </xf>
    <xf numFmtId="164" fontId="44" fillId="2" borderId="18" xfId="0" applyNumberFormat="1" applyFont="1" applyFill="1" applyBorder="1" applyAlignment="1">
      <alignment horizontal="right" vertical="center" indent="2"/>
    </xf>
    <xf numFmtId="0" fontId="15" fillId="11" borderId="18" xfId="0" applyFont="1" applyFill="1" applyBorder="1" applyAlignment="1">
      <alignment horizontal="left" vertical="center" indent="1"/>
    </xf>
    <xf numFmtId="164" fontId="15" fillId="11" borderId="19" xfId="0" applyNumberFormat="1" applyFont="1" applyFill="1" applyBorder="1" applyAlignment="1">
      <alignment horizontal="right" vertical="center" indent="2"/>
    </xf>
    <xf numFmtId="0" fontId="43" fillId="11" borderId="43" xfId="0" applyFont="1" applyFill="1" applyBorder="1" applyAlignment="1">
      <alignment horizontal="center" vertical="center" wrapText="1" shrinkToFit="1"/>
    </xf>
    <xf numFmtId="164" fontId="15" fillId="4" borderId="44" xfId="0" applyNumberFormat="1" applyFont="1" applyFill="1" applyBorder="1" applyAlignment="1">
      <alignment horizontal="right" vertical="center" indent="3"/>
    </xf>
    <xf numFmtId="164" fontId="15" fillId="11" borderId="45" xfId="0" applyNumberFormat="1" applyFont="1" applyFill="1" applyBorder="1" applyAlignment="1">
      <alignment horizontal="right" vertical="center" indent="3"/>
    </xf>
    <xf numFmtId="0" fontId="43" fillId="2" borderId="14" xfId="0" applyFont="1" applyFill="1" applyBorder="1" applyAlignment="1">
      <alignment vertical="center" wrapText="1" shrinkToFit="1"/>
    </xf>
    <xf numFmtId="0" fontId="43" fillId="2" borderId="0" xfId="0" applyFont="1" applyFill="1" applyBorder="1" applyAlignment="1">
      <alignment vertical="center" wrapText="1" shrinkToFit="1"/>
    </xf>
    <xf numFmtId="0" fontId="43" fillId="2" borderId="14" xfId="0" applyFont="1" applyFill="1" applyBorder="1" applyAlignment="1">
      <alignment horizontal="center" vertical="center"/>
    </xf>
    <xf numFmtId="164" fontId="44" fillId="2" borderId="14" xfId="0" applyNumberFormat="1" applyFont="1" applyFill="1" applyBorder="1" applyAlignment="1">
      <alignment horizontal="center" vertical="center"/>
    </xf>
    <xf numFmtId="0" fontId="41" fillId="2" borderId="0" xfId="0" applyFont="1" applyFill="1" applyBorder="1" applyAlignment="1"/>
    <xf numFmtId="0" fontId="8" fillId="0" borderId="0" xfId="0" applyFont="1" applyFill="1"/>
    <xf numFmtId="16" fontId="34" fillId="12" borderId="22" xfId="0" quotePrefix="1" applyNumberFormat="1" applyFont="1" applyFill="1" applyBorder="1" applyAlignment="1">
      <alignment horizontal="center" vertical="center"/>
    </xf>
    <xf numFmtId="0" fontId="34" fillId="12" borderId="22" xfId="0" quotePrefix="1" applyFont="1" applyFill="1" applyBorder="1" applyAlignment="1">
      <alignment horizontal="center" vertical="center"/>
    </xf>
    <xf numFmtId="0" fontId="83" fillId="0" borderId="0" xfId="0" applyFont="1" applyFill="1"/>
    <xf numFmtId="0" fontId="15" fillId="2" borderId="14" xfId="0" applyFont="1" applyFill="1" applyBorder="1" applyAlignment="1">
      <alignment horizontal="left" vertical="center"/>
    </xf>
    <xf numFmtId="0" fontId="15" fillId="15" borderId="14" xfId="0" applyFont="1" applyFill="1" applyBorder="1" applyAlignment="1">
      <alignment horizontal="left" vertical="center"/>
    </xf>
    <xf numFmtId="0" fontId="15" fillId="15" borderId="16" xfId="0" applyFont="1" applyFill="1" applyBorder="1" applyAlignment="1">
      <alignment horizontal="left" vertical="center"/>
    </xf>
    <xf numFmtId="165" fontId="35" fillId="15" borderId="19" xfId="0" applyNumberFormat="1" applyFont="1" applyFill="1" applyBorder="1" applyAlignment="1">
      <alignment horizontal="right" vertical="center" indent="1"/>
    </xf>
    <xf numFmtId="0" fontId="6" fillId="2" borderId="0" xfId="0" applyFont="1" applyFill="1"/>
    <xf numFmtId="0" fontId="18" fillId="2" borderId="0" xfId="0" applyFont="1" applyFill="1" applyBorder="1" applyAlignment="1">
      <alignment horizontal="right"/>
    </xf>
    <xf numFmtId="0" fontId="6" fillId="2" borderId="0" xfId="0" applyFont="1" applyFill="1"/>
    <xf numFmtId="0" fontId="46" fillId="2" borderId="0" xfId="1" applyFont="1" applyFill="1" applyAlignment="1" applyProtection="1"/>
    <xf numFmtId="0" fontId="100" fillId="2" borderId="0" xfId="0" applyFont="1" applyFill="1" applyAlignment="1">
      <alignment horizontal="center"/>
    </xf>
    <xf numFmtId="0" fontId="12" fillId="2" borderId="56" xfId="0" applyFont="1" applyFill="1" applyBorder="1" applyAlignment="1">
      <alignment horizontal="left"/>
    </xf>
    <xf numFmtId="0" fontId="12" fillId="2" borderId="57" xfId="0" applyFont="1" applyFill="1" applyBorder="1" applyAlignment="1">
      <alignment horizontal="left"/>
    </xf>
    <xf numFmtId="0" fontId="12" fillId="2" borderId="48" xfId="0" applyFont="1" applyFill="1" applyBorder="1" applyAlignment="1"/>
    <xf numFmtId="0" fontId="12" fillId="2" borderId="49" xfId="0" applyFont="1" applyFill="1" applyBorder="1" applyAlignment="1"/>
    <xf numFmtId="0" fontId="12" fillId="2" borderId="50" xfId="0" applyFont="1" applyFill="1" applyBorder="1" applyAlignment="1"/>
    <xf numFmtId="0" fontId="12" fillId="2" borderId="51" xfId="0" applyFont="1" applyFill="1" applyBorder="1" applyAlignment="1"/>
    <xf numFmtId="0" fontId="12" fillId="2" borderId="52" xfId="0" applyFont="1" applyFill="1" applyBorder="1" applyAlignment="1"/>
    <xf numFmtId="0" fontId="6" fillId="2" borderId="53" xfId="0" applyFont="1" applyFill="1" applyBorder="1"/>
    <xf numFmtId="0" fontId="6" fillId="2" borderId="54" xfId="0" applyFont="1" applyFill="1" applyBorder="1"/>
    <xf numFmtId="0" fontId="6" fillId="2" borderId="55" xfId="0" applyFont="1" applyFill="1" applyBorder="1"/>
    <xf numFmtId="0" fontId="98" fillId="15" borderId="22" xfId="0" applyFont="1" applyFill="1" applyBorder="1" applyAlignment="1">
      <alignment horizontal="center" vertical="center" wrapText="1" shrinkToFit="1"/>
    </xf>
    <xf numFmtId="165" fontId="83" fillId="0" borderId="0" xfId="0" applyNumberFormat="1" applyFont="1" applyFill="1"/>
    <xf numFmtId="0" fontId="6" fillId="2" borderId="0" xfId="0" applyFont="1" applyFill="1"/>
    <xf numFmtId="0" fontId="40" fillId="4" borderId="0" xfId="1" applyFont="1" applyFill="1" applyAlignment="1" applyProtection="1">
      <alignment horizontal="left"/>
    </xf>
    <xf numFmtId="0" fontId="6" fillId="4" borderId="0" xfId="0" applyFont="1" applyFill="1"/>
    <xf numFmtId="0" fontId="18" fillId="2" borderId="0" xfId="0" applyFont="1" applyFill="1" applyBorder="1" applyAlignment="1">
      <alignment horizontal="right"/>
    </xf>
    <xf numFmtId="49" fontId="34" fillId="9" borderId="22" xfId="0" quotePrefix="1" applyNumberFormat="1" applyFont="1" applyFill="1" applyBorder="1" applyAlignment="1">
      <alignment horizontal="center" vertical="center" wrapText="1" shrinkToFit="1"/>
    </xf>
    <xf numFmtId="0" fontId="7" fillId="0" borderId="0" xfId="0" applyFont="1" applyFill="1" applyBorder="1"/>
    <xf numFmtId="1" fontId="7" fillId="8" borderId="0" xfId="0" applyNumberFormat="1" applyFont="1" applyFill="1" applyBorder="1"/>
    <xf numFmtId="165" fontId="7" fillId="8" borderId="0" xfId="0" applyNumberFormat="1" applyFont="1" applyFill="1" applyAlignment="1">
      <alignment horizontal="right" shrinkToFit="1"/>
    </xf>
    <xf numFmtId="49" fontId="38" fillId="9" borderId="40" xfId="0" applyNumberFormat="1" applyFont="1" applyFill="1" applyBorder="1" applyAlignment="1">
      <alignment horizontal="center" vertical="center" wrapText="1" shrinkToFit="1"/>
    </xf>
    <xf numFmtId="0" fontId="15" fillId="8" borderId="14" xfId="0" applyFont="1" applyFill="1" applyBorder="1" applyAlignment="1">
      <alignment horizontal="left" vertical="center"/>
    </xf>
    <xf numFmtId="0" fontId="15" fillId="8" borderId="16" xfId="0" applyFont="1" applyFill="1" applyBorder="1" applyAlignment="1">
      <alignment horizontal="left" vertical="center"/>
    </xf>
    <xf numFmtId="0" fontId="98" fillId="8" borderId="13" xfId="0" applyFont="1" applyFill="1" applyBorder="1" applyAlignment="1">
      <alignment horizontal="center" vertical="center" wrapText="1" shrinkToFit="1"/>
    </xf>
    <xf numFmtId="165" fontId="101" fillId="2" borderId="18" xfId="0" applyNumberFormat="1" applyFont="1" applyFill="1" applyBorder="1" applyAlignment="1">
      <alignment horizontal="right" vertical="center" indent="1"/>
    </xf>
    <xf numFmtId="165" fontId="101" fillId="8" borderId="18" xfId="0" applyNumberFormat="1" applyFont="1" applyFill="1" applyBorder="1" applyAlignment="1">
      <alignment horizontal="right" vertical="center" indent="1"/>
    </xf>
    <xf numFmtId="165" fontId="101" fillId="8" borderId="19" xfId="0" applyNumberFormat="1" applyFont="1" applyFill="1" applyBorder="1" applyAlignment="1">
      <alignment horizontal="right" vertical="center" indent="1"/>
    </xf>
    <xf numFmtId="0" fontId="100" fillId="2" borderId="0" xfId="0" applyFont="1" applyFill="1" applyAlignment="1"/>
    <xf numFmtId="0" fontId="102" fillId="2" borderId="0" xfId="0" applyFont="1" applyFill="1" applyAlignment="1">
      <alignment horizontal="center"/>
    </xf>
    <xf numFmtId="0" fontId="12" fillId="2" borderId="0" xfId="0" applyFont="1" applyFill="1" applyBorder="1" applyAlignment="1">
      <alignment wrapText="1"/>
    </xf>
    <xf numFmtId="0" fontId="6" fillId="2" borderId="0" xfId="0" applyFont="1" applyFill="1" applyBorder="1" applyAlignment="1"/>
    <xf numFmtId="0" fontId="102" fillId="2" borderId="0" xfId="0" applyFont="1" applyFill="1" applyBorder="1" applyAlignment="1"/>
    <xf numFmtId="0" fontId="6" fillId="2" borderId="0" xfId="0" applyFont="1" applyFill="1"/>
    <xf numFmtId="0" fontId="35" fillId="2" borderId="14" xfId="0" applyFont="1" applyFill="1" applyBorder="1" applyAlignment="1">
      <alignment horizontal="left" vertical="center" indent="1"/>
    </xf>
    <xf numFmtId="0" fontId="35" fillId="8" borderId="14" xfId="0" applyFont="1" applyFill="1" applyBorder="1" applyAlignment="1">
      <alignment horizontal="left" vertical="center" indent="1"/>
    </xf>
    <xf numFmtId="0" fontId="50" fillId="2" borderId="16" xfId="0" applyFont="1" applyFill="1" applyBorder="1" applyAlignment="1">
      <alignment horizontal="left" vertical="center" indent="1"/>
    </xf>
    <xf numFmtId="49" fontId="34" fillId="9" borderId="13" xfId="0" applyNumberFormat="1" applyFont="1" applyFill="1" applyBorder="1" applyAlignment="1">
      <alignment horizontal="center" vertical="center"/>
    </xf>
    <xf numFmtId="0" fontId="34" fillId="9" borderId="21" xfId="0" applyFont="1" applyFill="1" applyBorder="1" applyAlignment="1">
      <alignment horizontal="center" vertical="center"/>
    </xf>
    <xf numFmtId="165" fontId="103" fillId="0" borderId="0" xfId="0" applyNumberFormat="1" applyFont="1"/>
    <xf numFmtId="0" fontId="6" fillId="2" borderId="0" xfId="0" applyFont="1" applyFill="1"/>
    <xf numFmtId="0" fontId="22" fillId="8" borderId="0" xfId="0" applyFont="1" applyFill="1" applyAlignment="1"/>
    <xf numFmtId="0" fontId="6" fillId="21" borderId="0" xfId="0" applyFont="1" applyFill="1"/>
    <xf numFmtId="0" fontId="12" fillId="9" borderId="0" xfId="0" applyFont="1" applyFill="1" applyAlignment="1">
      <alignment horizontal="left"/>
    </xf>
    <xf numFmtId="0" fontId="12" fillId="22" borderId="0" xfId="0" applyFont="1" applyFill="1" applyAlignment="1">
      <alignment horizontal="left"/>
    </xf>
    <xf numFmtId="0" fontId="85" fillId="6" borderId="13" xfId="0" applyFont="1" applyFill="1" applyBorder="1" applyAlignment="1">
      <alignment horizontal="center" vertical="center" wrapText="1" shrinkToFit="1"/>
    </xf>
    <xf numFmtId="0" fontId="85" fillId="8" borderId="13" xfId="0" applyFont="1" applyFill="1" applyBorder="1" applyAlignment="1">
      <alignment horizontal="center" vertical="center" wrapText="1" shrinkToFit="1"/>
    </xf>
    <xf numFmtId="0" fontId="85" fillId="18" borderId="13" xfId="0" applyFont="1" applyFill="1" applyBorder="1" applyAlignment="1">
      <alignment horizontal="center" vertical="center" wrapText="1" shrinkToFit="1"/>
    </xf>
    <xf numFmtId="0" fontId="85" fillId="11" borderId="13" xfId="0" applyFont="1" applyFill="1" applyBorder="1" applyAlignment="1">
      <alignment horizontal="center" vertical="center" wrapText="1" shrinkToFit="1"/>
    </xf>
    <xf numFmtId="17" fontId="41" fillId="8" borderId="13" xfId="0" applyNumberFormat="1" applyFont="1" applyFill="1" applyBorder="1" applyAlignment="1">
      <alignment horizontal="center" vertical="center"/>
    </xf>
    <xf numFmtId="165" fontId="7" fillId="0" borderId="0" xfId="0" quotePrefix="1" applyNumberFormat="1" applyFont="1" applyFill="1"/>
    <xf numFmtId="165" fontId="101" fillId="15" borderId="18" xfId="0" applyNumberFormat="1" applyFont="1" applyFill="1" applyBorder="1" applyAlignment="1">
      <alignment horizontal="right" vertical="center" indent="1"/>
    </xf>
    <xf numFmtId="165" fontId="101" fillId="15" borderId="19" xfId="0" applyNumberFormat="1" applyFont="1" applyFill="1" applyBorder="1" applyAlignment="1">
      <alignment horizontal="right" vertical="center" indent="1"/>
    </xf>
    <xf numFmtId="0" fontId="6" fillId="2" borderId="0" xfId="0" applyFont="1" applyFill="1"/>
    <xf numFmtId="164" fontId="15" fillId="4" borderId="28" xfId="0" applyNumberFormat="1" applyFont="1" applyFill="1" applyBorder="1" applyAlignment="1">
      <alignment horizontal="right" vertical="center" indent="3"/>
    </xf>
    <xf numFmtId="164" fontId="15" fillId="11" borderId="14" xfId="0" applyNumberFormat="1" applyFont="1" applyFill="1" applyBorder="1" applyAlignment="1">
      <alignment horizontal="right" vertical="center" indent="3"/>
    </xf>
    <xf numFmtId="164" fontId="44" fillId="4" borderId="16" xfId="0" applyNumberFormat="1" applyFont="1" applyFill="1" applyBorder="1" applyAlignment="1">
      <alignment horizontal="right" vertical="center" indent="3"/>
    </xf>
    <xf numFmtId="0" fontId="33" fillId="2" borderId="14" xfId="0" applyFont="1" applyFill="1" applyBorder="1" applyAlignment="1">
      <alignment vertical="center"/>
    </xf>
    <xf numFmtId="0" fontId="93" fillId="2" borderId="14" xfId="0" applyFont="1" applyFill="1" applyBorder="1" applyAlignment="1">
      <alignment horizontal="center" vertical="center" wrapText="1" shrinkToFit="1"/>
    </xf>
    <xf numFmtId="3" fontId="15" fillId="2" borderId="14" xfId="0" applyNumberFormat="1" applyFont="1" applyFill="1" applyBorder="1" applyAlignment="1">
      <alignment horizontal="right" vertical="center" indent="2"/>
    </xf>
    <xf numFmtId="3" fontId="44" fillId="2" borderId="14" xfId="0" applyNumberFormat="1" applyFont="1" applyFill="1" applyBorder="1" applyAlignment="1">
      <alignment horizontal="right" vertical="center" indent="2"/>
    </xf>
    <xf numFmtId="0" fontId="105" fillId="11" borderId="13" xfId="0" applyFont="1" applyFill="1" applyBorder="1" applyAlignment="1">
      <alignment horizontal="center" vertical="center" wrapText="1" shrinkToFit="1"/>
    </xf>
    <xf numFmtId="17" fontId="41" fillId="15" borderId="13" xfId="0" applyNumberFormat="1" applyFont="1" applyFill="1" applyBorder="1" applyAlignment="1">
      <alignment horizontal="center" vertical="center"/>
    </xf>
    <xf numFmtId="165" fontId="83" fillId="0" borderId="0" xfId="0" applyNumberFormat="1" applyFont="1"/>
    <xf numFmtId="165" fontId="35" fillId="11" borderId="0" xfId="0" applyNumberFormat="1" applyFont="1" applyFill="1"/>
    <xf numFmtId="165" fontId="83" fillId="11" borderId="0" xfId="0" applyNumberFormat="1" applyFont="1" applyFill="1"/>
    <xf numFmtId="0" fontId="6" fillId="2" borderId="0" xfId="0" applyFont="1" applyFill="1"/>
    <xf numFmtId="165" fontId="44" fillId="4" borderId="45" xfId="0" applyNumberFormat="1" applyFont="1" applyFill="1" applyBorder="1" applyAlignment="1">
      <alignment horizontal="right" vertical="center" indent="3"/>
    </xf>
    <xf numFmtId="165" fontId="44" fillId="4" borderId="18" xfId="0" applyNumberFormat="1" applyFont="1" applyFill="1" applyBorder="1" applyAlignment="1">
      <alignment horizontal="right" vertical="center" indent="3"/>
    </xf>
    <xf numFmtId="165" fontId="15" fillId="11" borderId="45" xfId="0" applyNumberFormat="1" applyFont="1" applyFill="1" applyBorder="1" applyAlignment="1">
      <alignment horizontal="right" vertical="center" indent="3"/>
    </xf>
    <xf numFmtId="165" fontId="15" fillId="11" borderId="18" xfId="0" applyNumberFormat="1" applyFont="1" applyFill="1" applyBorder="1" applyAlignment="1">
      <alignment horizontal="right" vertical="center" indent="3"/>
    </xf>
    <xf numFmtId="165" fontId="15" fillId="4" borderId="45" xfId="0" applyNumberFormat="1" applyFont="1" applyFill="1" applyBorder="1" applyAlignment="1">
      <alignment horizontal="right" vertical="center" indent="3"/>
    </xf>
    <xf numFmtId="165" fontId="15" fillId="4" borderId="18" xfId="0" applyNumberFormat="1" applyFont="1" applyFill="1" applyBorder="1" applyAlignment="1">
      <alignment horizontal="right" vertical="center" indent="3"/>
    </xf>
    <xf numFmtId="165" fontId="15" fillId="2" borderId="45" xfId="0" applyNumberFormat="1" applyFont="1" applyFill="1" applyBorder="1" applyAlignment="1">
      <alignment horizontal="right" vertical="center" indent="3"/>
    </xf>
    <xf numFmtId="165" fontId="15" fillId="2" borderId="18" xfId="0" applyNumberFormat="1" applyFont="1" applyFill="1" applyBorder="1" applyAlignment="1">
      <alignment horizontal="right" vertical="center" indent="3"/>
    </xf>
    <xf numFmtId="165" fontId="15" fillId="11" borderId="46" xfId="0" applyNumberFormat="1" applyFont="1" applyFill="1" applyBorder="1" applyAlignment="1">
      <alignment horizontal="right" vertical="center" indent="3"/>
    </xf>
    <xf numFmtId="165" fontId="15" fillId="11" borderId="19" xfId="0" applyNumberFormat="1" applyFont="1" applyFill="1" applyBorder="1" applyAlignment="1">
      <alignment horizontal="right" vertical="center" indent="3"/>
    </xf>
    <xf numFmtId="0" fontId="6" fillId="2" borderId="0" xfId="0" applyFont="1" applyFill="1"/>
    <xf numFmtId="0" fontId="37" fillId="11" borderId="20" xfId="0" applyFont="1" applyFill="1" applyBorder="1" applyAlignment="1">
      <alignment horizontal="left" vertical="center"/>
    </xf>
    <xf numFmtId="0" fontId="6" fillId="2" borderId="0" xfId="0" applyFont="1" applyFill="1"/>
    <xf numFmtId="0" fontId="6" fillId="2" borderId="0" xfId="0" applyFont="1" applyFill="1"/>
    <xf numFmtId="0" fontId="18" fillId="2" borderId="0" xfId="0" applyFont="1" applyFill="1" applyBorder="1" applyAlignment="1">
      <alignment horizontal="right"/>
    </xf>
    <xf numFmtId="0" fontId="40" fillId="2" borderId="0" xfId="0" applyFont="1" applyFill="1" applyBorder="1" applyAlignment="1"/>
    <xf numFmtId="0" fontId="6" fillId="2" borderId="0" xfId="0" applyFont="1" applyFill="1"/>
    <xf numFmtId="0" fontId="92" fillId="2" borderId="14" xfId="0" applyFont="1" applyFill="1" applyBorder="1" applyAlignment="1">
      <alignment wrapText="1" shrinkToFit="1"/>
    </xf>
    <xf numFmtId="0" fontId="92" fillId="2" borderId="0" xfId="0" applyFont="1" applyFill="1" applyBorder="1" applyAlignment="1">
      <alignment wrapText="1" shrinkToFit="1"/>
    </xf>
    <xf numFmtId="0" fontId="18" fillId="2" borderId="0" xfId="0" applyFont="1" applyFill="1" applyBorder="1" applyAlignment="1"/>
    <xf numFmtId="0" fontId="14" fillId="2" borderId="0" xfId="0" applyFont="1" applyFill="1" applyBorder="1"/>
    <xf numFmtId="0" fontId="41" fillId="2" borderId="29" xfId="0" applyFont="1" applyFill="1" applyBorder="1" applyAlignment="1"/>
    <xf numFmtId="0" fontId="6" fillId="2" borderId="0" xfId="0" applyFont="1" applyFill="1"/>
    <xf numFmtId="0" fontId="35" fillId="2" borderId="14" xfId="0" applyFont="1" applyFill="1" applyBorder="1" applyAlignment="1">
      <alignment horizontal="left" vertical="center" indent="1"/>
    </xf>
    <xf numFmtId="0" fontId="35" fillId="8" borderId="14" xfId="0" applyFont="1" applyFill="1" applyBorder="1" applyAlignment="1">
      <alignment horizontal="left" vertical="center" indent="1"/>
    </xf>
    <xf numFmtId="0" fontId="50" fillId="2" borderId="16" xfId="0" applyFont="1" applyFill="1" applyBorder="1" applyAlignment="1">
      <alignment horizontal="left" vertical="center" indent="1"/>
    </xf>
    <xf numFmtId="0" fontId="40" fillId="4" borderId="0" xfId="1" applyFont="1" applyFill="1" applyAlignment="1" applyProtection="1">
      <alignment horizontal="left"/>
    </xf>
    <xf numFmtId="0" fontId="34" fillId="9" borderId="21" xfId="0" applyFont="1" applyFill="1" applyBorder="1" applyAlignment="1">
      <alignment horizontal="center" vertical="center"/>
    </xf>
    <xf numFmtId="0" fontId="6" fillId="2" borderId="0" xfId="0" applyFont="1" applyFill="1"/>
    <xf numFmtId="0" fontId="40" fillId="2" borderId="0" xfId="0" quotePrefix="1" applyFont="1" applyFill="1" applyBorder="1" applyAlignment="1"/>
    <xf numFmtId="0" fontId="21" fillId="4" borderId="0" xfId="0" applyFont="1" applyFill="1" applyAlignment="1">
      <alignment wrapText="1" shrinkToFit="1"/>
    </xf>
    <xf numFmtId="49" fontId="34" fillId="9" borderId="13" xfId="0" quotePrefix="1" applyNumberFormat="1" applyFont="1" applyFill="1" applyBorder="1" applyAlignment="1">
      <alignment horizontal="center" vertical="center"/>
    </xf>
    <xf numFmtId="0" fontId="4" fillId="2" borderId="29" xfId="0" applyFont="1" applyFill="1" applyBorder="1" applyAlignment="1"/>
    <xf numFmtId="0" fontId="109" fillId="2" borderId="0" xfId="0" applyFont="1" applyFill="1" applyBorder="1" applyAlignment="1">
      <alignment horizontal="center" vertical="center"/>
    </xf>
    <xf numFmtId="0" fontId="112" fillId="2" borderId="0" xfId="1" applyFont="1" applyFill="1" applyAlignment="1" applyProtection="1"/>
    <xf numFmtId="0" fontId="113" fillId="2" borderId="0" xfId="1" applyFont="1" applyFill="1" applyAlignment="1" applyProtection="1">
      <alignment horizontal="right"/>
    </xf>
    <xf numFmtId="0" fontId="6" fillId="2" borderId="0" xfId="0" applyFont="1" applyFill="1"/>
    <xf numFmtId="0" fontId="89" fillId="0" borderId="0" xfId="0" applyFont="1"/>
    <xf numFmtId="1" fontId="89" fillId="0" borderId="0" xfId="0" applyNumberFormat="1" applyFont="1"/>
    <xf numFmtId="0" fontId="36" fillId="2" borderId="0" xfId="0" applyFont="1" applyFill="1" applyAlignment="1">
      <alignment horizontal="right" wrapText="1"/>
    </xf>
    <xf numFmtId="0" fontId="6" fillId="2" borderId="0" xfId="0" applyFont="1" applyFill="1"/>
    <xf numFmtId="0" fontId="87" fillId="2" borderId="0" xfId="0" applyFont="1" applyFill="1" applyBorder="1" applyAlignment="1">
      <alignment vertical="top" wrapText="1"/>
    </xf>
    <xf numFmtId="0" fontId="114" fillId="2" borderId="0" xfId="0" applyFont="1" applyFill="1" applyBorder="1" applyAlignment="1">
      <alignment horizontal="justify" vertical="justify" wrapText="1"/>
    </xf>
    <xf numFmtId="0" fontId="6" fillId="3" borderId="0" xfId="0" applyFont="1" applyFill="1" applyBorder="1"/>
    <xf numFmtId="0" fontId="74" fillId="3" borderId="0" xfId="0" applyFont="1" applyFill="1" applyBorder="1" applyAlignment="1">
      <alignment vertical="center"/>
    </xf>
    <xf numFmtId="0" fontId="114" fillId="2" borderId="0" xfId="0" applyFont="1" applyFill="1" applyBorder="1" applyAlignment="1">
      <alignment vertical="justify" wrapText="1"/>
    </xf>
    <xf numFmtId="0" fontId="24" fillId="2" borderId="0" xfId="0" applyFont="1" applyFill="1" applyBorder="1" applyAlignment="1">
      <alignment horizontal="right" wrapText="1"/>
    </xf>
    <xf numFmtId="0" fontId="116" fillId="2" borderId="0" xfId="0" applyFont="1" applyFill="1" applyBorder="1" applyAlignment="1">
      <alignment vertical="center" wrapText="1"/>
    </xf>
    <xf numFmtId="0" fontId="117" fillId="2" borderId="0" xfId="1" applyFont="1" applyFill="1" applyBorder="1" applyAlignment="1" applyProtection="1">
      <alignment horizontal="right" vertical="center" wrapText="1"/>
    </xf>
    <xf numFmtId="0" fontId="3" fillId="2" borderId="0" xfId="0" applyFont="1" applyFill="1" applyBorder="1" applyAlignment="1">
      <alignment horizontal="justify" vertical="top" wrapText="1" shrinkToFit="1"/>
    </xf>
    <xf numFmtId="0" fontId="6" fillId="2" borderId="0" xfId="0" applyFont="1" applyFill="1"/>
    <xf numFmtId="0" fontId="118" fillId="3" borderId="0" xfId="0" applyFont="1" applyFill="1" applyBorder="1" applyAlignment="1">
      <alignment horizontal="right" indent="1"/>
    </xf>
    <xf numFmtId="0" fontId="6" fillId="2" borderId="0" xfId="0" applyFont="1" applyFill="1"/>
    <xf numFmtId="0" fontId="7" fillId="2" borderId="0" xfId="0" applyFont="1" applyFill="1" applyAlignment="1">
      <alignment horizontal="left" indent="1"/>
    </xf>
    <xf numFmtId="0" fontId="121" fillId="2" borderId="0" xfId="0" applyFont="1" applyFill="1" applyBorder="1" applyAlignment="1">
      <alignment horizontal="justify" vertical="justify" wrapText="1"/>
    </xf>
    <xf numFmtId="0" fontId="40" fillId="4" borderId="0" xfId="1" applyFont="1" applyFill="1" applyAlignment="1" applyProtection="1">
      <alignment horizontal="left"/>
    </xf>
    <xf numFmtId="165" fontId="90" fillId="25" borderId="40" xfId="0" applyNumberFormat="1" applyFont="1" applyFill="1" applyBorder="1" applyAlignment="1">
      <alignment horizontal="right" vertical="center" indent="1"/>
    </xf>
    <xf numFmtId="0" fontId="6" fillId="2" borderId="0" xfId="0" applyFont="1" applyFill="1"/>
    <xf numFmtId="3" fontId="15" fillId="2" borderId="18" xfId="0" applyNumberFormat="1" applyFont="1" applyFill="1" applyBorder="1" applyAlignment="1">
      <alignment horizontal="right" vertical="center" indent="1"/>
    </xf>
    <xf numFmtId="3" fontId="15" fillId="8" borderId="18" xfId="0" applyNumberFormat="1" applyFont="1" applyFill="1" applyBorder="1" applyAlignment="1">
      <alignment horizontal="right" vertical="center" indent="1"/>
    </xf>
    <xf numFmtId="3" fontId="50" fillId="2" borderId="19" xfId="0" applyNumberFormat="1" applyFont="1" applyFill="1" applyBorder="1" applyAlignment="1">
      <alignment horizontal="right" vertical="center" indent="1"/>
    </xf>
    <xf numFmtId="3" fontId="15" fillId="6" borderId="18" xfId="0" applyNumberFormat="1" applyFont="1" applyFill="1" applyBorder="1" applyAlignment="1">
      <alignment horizontal="right" vertical="center" indent="1"/>
    </xf>
    <xf numFmtId="3" fontId="17" fillId="2" borderId="19" xfId="0" applyNumberFormat="1" applyFont="1" applyFill="1" applyBorder="1" applyAlignment="1">
      <alignment horizontal="right" vertical="center" indent="1"/>
    </xf>
    <xf numFmtId="0" fontId="17" fillId="4" borderId="19" xfId="0" applyFont="1" applyFill="1" applyBorder="1" applyAlignment="1">
      <alignment horizontal="left" vertical="center" wrapText="1" indent="1" shrinkToFit="1"/>
    </xf>
    <xf numFmtId="0" fontId="17" fillId="2" borderId="14" xfId="0" applyFont="1" applyFill="1" applyBorder="1" applyAlignment="1">
      <alignment horizontal="left" vertical="center" wrapText="1" indent="1" shrinkToFit="1"/>
    </xf>
    <xf numFmtId="0" fontId="17" fillId="2" borderId="16" xfId="0" applyFont="1" applyFill="1" applyBorder="1" applyAlignment="1">
      <alignment horizontal="left" vertical="center" wrapText="1" indent="1" shrinkToFit="1"/>
    </xf>
    <xf numFmtId="0" fontId="44" fillId="2" borderId="42" xfId="0" applyFont="1" applyFill="1" applyBorder="1" applyAlignment="1">
      <alignment horizontal="left" vertical="center" wrapText="1" indent="1" shrinkToFit="1"/>
    </xf>
    <xf numFmtId="0" fontId="44" fillId="2" borderId="19" xfId="0" applyFont="1" applyFill="1" applyBorder="1" applyAlignment="1">
      <alignment horizontal="left" vertical="center" wrapText="1" indent="1" shrinkToFit="1"/>
    </xf>
    <xf numFmtId="0" fontId="44" fillId="4" borderId="19" xfId="0" applyFont="1" applyFill="1" applyBorder="1" applyAlignment="1">
      <alignment horizontal="left" vertical="center" wrapText="1" indent="1" shrinkToFit="1"/>
    </xf>
    <xf numFmtId="0" fontId="44" fillId="2" borderId="18" xfId="0" applyFont="1" applyFill="1" applyBorder="1" applyAlignment="1">
      <alignment horizontal="left" vertical="center" wrapText="1" indent="1" shrinkToFit="1"/>
    </xf>
    <xf numFmtId="0" fontId="44" fillId="4" borderId="18" xfId="0" applyFont="1" applyFill="1" applyBorder="1" applyAlignment="1">
      <alignment horizontal="left" vertical="center" wrapText="1" indent="1" shrinkToFit="1"/>
    </xf>
    <xf numFmtId="0" fontId="64" fillId="2" borderId="16" xfId="0" applyFont="1" applyFill="1" applyBorder="1" applyAlignment="1">
      <alignment horizontal="left" vertical="center" wrapText="1" indent="1" shrinkToFit="1"/>
    </xf>
    <xf numFmtId="0" fontId="50" fillId="2" borderId="16" xfId="0" applyFont="1" applyFill="1" applyBorder="1" applyAlignment="1">
      <alignment horizontal="left" vertical="center" wrapText="1" indent="1" shrinkToFit="1"/>
    </xf>
    <xf numFmtId="0" fontId="115" fillId="2" borderId="0" xfId="0" applyFont="1" applyFill="1" applyBorder="1" applyAlignment="1">
      <alignment horizontal="right"/>
    </xf>
    <xf numFmtId="0" fontId="119" fillId="2" borderId="0" xfId="0" applyFont="1" applyFill="1" applyBorder="1" applyAlignment="1">
      <alignment horizontal="justify" vertical="top" wrapText="1" shrinkToFit="1"/>
    </xf>
    <xf numFmtId="0" fontId="116" fillId="2" borderId="0" xfId="0" applyFont="1" applyFill="1" applyBorder="1" applyAlignment="1">
      <alignment horizontal="right" vertical="center" wrapText="1"/>
    </xf>
    <xf numFmtId="0" fontId="119" fillId="2" borderId="0" xfId="0" applyFont="1" applyFill="1" applyBorder="1" applyAlignment="1">
      <alignment horizontal="left" vertical="center" wrapText="1" shrinkToFit="1"/>
    </xf>
    <xf numFmtId="0" fontId="6" fillId="2" borderId="35" xfId="0" applyFont="1" applyFill="1" applyBorder="1" applyAlignment="1">
      <alignment horizontal="center"/>
    </xf>
    <xf numFmtId="0" fontId="27" fillId="2" borderId="0" xfId="1" applyFont="1" applyFill="1" applyBorder="1" applyAlignment="1" applyProtection="1">
      <alignment horizontal="center"/>
    </xf>
    <xf numFmtId="0" fontId="70" fillId="2" borderId="0" xfId="0" applyFont="1" applyFill="1" applyBorder="1" applyAlignment="1">
      <alignment horizontal="justify" wrapText="1" shrinkToFit="1"/>
    </xf>
    <xf numFmtId="0" fontId="27" fillId="2" borderId="0" xfId="1" applyFont="1" applyFill="1" applyBorder="1" applyAlignment="1" applyProtection="1">
      <alignment horizontal="center" wrapText="1" shrinkToFit="1"/>
    </xf>
    <xf numFmtId="0" fontId="70" fillId="2" borderId="0" xfId="0" applyFont="1" applyFill="1" applyBorder="1" applyAlignment="1">
      <alignment horizontal="center" wrapText="1" shrinkToFit="1"/>
    </xf>
    <xf numFmtId="0" fontId="72" fillId="3" borderId="0" xfId="0" applyFont="1" applyFill="1" applyAlignment="1">
      <alignment horizontal="center" vertical="center" wrapText="1" shrinkToFit="1"/>
    </xf>
    <xf numFmtId="0" fontId="69" fillId="2" borderId="0" xfId="1" applyFont="1" applyFill="1" applyAlignment="1" applyProtection="1">
      <alignment horizontal="left"/>
    </xf>
    <xf numFmtId="0" fontId="6" fillId="2" borderId="0" xfId="0" applyFont="1" applyFill="1"/>
    <xf numFmtId="0" fontId="27" fillId="2" borderId="0" xfId="1" applyFont="1" applyFill="1" applyBorder="1" applyAlignment="1" applyProtection="1">
      <alignment horizontal="left" wrapText="1" shrinkToFit="1"/>
    </xf>
    <xf numFmtId="0" fontId="70" fillId="2" borderId="0" xfId="0" applyFont="1" applyFill="1" applyBorder="1" applyAlignment="1">
      <alignment horizontal="left" wrapText="1" shrinkToFit="1"/>
    </xf>
    <xf numFmtId="0" fontId="17" fillId="2" borderId="0" xfId="1" applyFont="1" applyFill="1" applyBorder="1" applyAlignment="1" applyProtection="1">
      <alignment horizontal="right" wrapText="1" indent="1" shrinkToFit="1"/>
    </xf>
    <xf numFmtId="0" fontId="55" fillId="2" borderId="0" xfId="1" applyFont="1" applyFill="1" applyAlignment="1" applyProtection="1">
      <alignment horizontal="left" indent="2"/>
    </xf>
    <xf numFmtId="0" fontId="111" fillId="2" borderId="0" xfId="0" applyFont="1" applyFill="1" applyAlignment="1">
      <alignment horizontal="left"/>
    </xf>
    <xf numFmtId="0" fontId="55" fillId="2" borderId="0" xfId="1" applyFont="1" applyFill="1" applyAlignment="1" applyProtection="1">
      <alignment horizontal="left" indent="1"/>
    </xf>
    <xf numFmtId="0" fontId="22" fillId="24" borderId="0" xfId="0" applyFont="1" applyFill="1" applyAlignment="1">
      <alignment horizontal="center"/>
    </xf>
    <xf numFmtId="0" fontId="50" fillId="0" borderId="0" xfId="0" applyFont="1" applyAlignment="1">
      <alignment horizontal="left" indent="1"/>
    </xf>
    <xf numFmtId="0" fontId="22" fillId="8" borderId="0" xfId="0" applyFont="1" applyFill="1" applyAlignment="1">
      <alignment horizontal="center"/>
    </xf>
    <xf numFmtId="0" fontId="53" fillId="2" borderId="0" xfId="0" applyFont="1" applyFill="1" applyAlignment="1">
      <alignment horizontal="left"/>
    </xf>
    <xf numFmtId="0" fontId="46" fillId="2" borderId="0" xfId="1" applyFont="1" applyFill="1" applyAlignment="1" applyProtection="1">
      <alignment horizontal="left" indent="1"/>
    </xf>
    <xf numFmtId="0" fontId="27" fillId="2" borderId="0" xfId="1" applyFont="1" applyFill="1" applyAlignment="1" applyProtection="1">
      <alignment horizontal="left" indent="1"/>
    </xf>
    <xf numFmtId="0" fontId="68" fillId="2" borderId="0" xfId="1" applyFont="1" applyFill="1" applyAlignment="1" applyProtection="1">
      <alignment horizontal="left" indent="1"/>
    </xf>
    <xf numFmtId="0" fontId="66" fillId="3" borderId="0" xfId="0" applyFont="1" applyFill="1" applyAlignment="1">
      <alignment horizontal="right" vertical="center"/>
    </xf>
    <xf numFmtId="0" fontId="61" fillId="2" borderId="0" xfId="0" applyFont="1" applyFill="1" applyAlignment="1">
      <alignment horizontal="left"/>
    </xf>
    <xf numFmtId="0" fontId="22" fillId="11" borderId="0" xfId="0" applyFont="1" applyFill="1" applyAlignment="1">
      <alignment horizontal="center"/>
    </xf>
    <xf numFmtId="0" fontId="22" fillId="15" borderId="0" xfId="0" applyFont="1" applyFill="1" applyAlignment="1">
      <alignment horizontal="center"/>
    </xf>
    <xf numFmtId="0" fontId="42" fillId="2" borderId="0" xfId="0" applyFont="1" applyFill="1" applyAlignment="1">
      <alignment horizontal="left"/>
    </xf>
    <xf numFmtId="0" fontId="51" fillId="2" borderId="0" xfId="0" applyFont="1" applyFill="1" applyAlignment="1">
      <alignment horizontal="left"/>
    </xf>
    <xf numFmtId="0" fontId="16" fillId="2" borderId="0" xfId="0" applyFont="1" applyFill="1" applyAlignment="1">
      <alignment horizontal="left"/>
    </xf>
    <xf numFmtId="0" fontId="25" fillId="2" borderId="0" xfId="1" applyFont="1" applyFill="1" applyAlignment="1" applyProtection="1">
      <alignment horizontal="left"/>
    </xf>
    <xf numFmtId="0" fontId="6" fillId="6" borderId="0" xfId="0" applyFont="1" applyFill="1" applyAlignment="1">
      <alignment horizontal="center"/>
    </xf>
    <xf numFmtId="0" fontId="76" fillId="2" borderId="0" xfId="0" applyFont="1" applyFill="1" applyAlignment="1">
      <alignment horizontal="center"/>
    </xf>
    <xf numFmtId="0" fontId="16" fillId="2" borderId="0" xfId="0" applyFont="1" applyFill="1" applyAlignment="1">
      <alignment horizontal="left" indent="1"/>
    </xf>
    <xf numFmtId="0" fontId="6" fillId="13" borderId="0" xfId="0" applyFont="1" applyFill="1" applyAlignment="1">
      <alignment horizontal="center"/>
    </xf>
    <xf numFmtId="0" fontId="75" fillId="2" borderId="0" xfId="0" applyFont="1" applyFill="1" applyAlignment="1">
      <alignment horizontal="left"/>
    </xf>
    <xf numFmtId="0" fontId="25" fillId="2" borderId="0" xfId="1" applyFont="1" applyFill="1" applyBorder="1" applyAlignment="1" applyProtection="1"/>
    <xf numFmtId="0" fontId="18" fillId="2" borderId="0" xfId="0" applyFont="1" applyFill="1" applyBorder="1" applyAlignment="1">
      <alignment horizontal="right" vertical="top"/>
    </xf>
    <xf numFmtId="0" fontId="18" fillId="2" borderId="29" xfId="0" applyFont="1" applyFill="1" applyBorder="1" applyAlignment="1">
      <alignment horizontal="right" vertical="center"/>
    </xf>
    <xf numFmtId="0" fontId="29" fillId="2" borderId="0" xfId="0" applyFont="1" applyFill="1" applyAlignment="1">
      <alignment horizontal="left" wrapText="1" shrinkToFit="1"/>
    </xf>
    <xf numFmtId="0" fontId="29" fillId="2" borderId="0" xfId="0" applyFont="1" applyFill="1" applyAlignment="1">
      <alignment horizontal="left"/>
    </xf>
    <xf numFmtId="0" fontId="41" fillId="2" borderId="0" xfId="0" applyFont="1" applyFill="1" applyAlignment="1">
      <alignment horizontal="left" vertical="top" wrapText="1" shrinkToFit="1"/>
    </xf>
    <xf numFmtId="0" fontId="107" fillId="2" borderId="0" xfId="0" applyFont="1" applyFill="1" applyAlignment="1">
      <alignment horizontal="justify" wrapText="1" shrinkToFit="1"/>
    </xf>
    <xf numFmtId="0" fontId="18" fillId="2" borderId="9" xfId="0" applyFont="1" applyFill="1" applyBorder="1" applyAlignment="1">
      <alignment horizontal="left"/>
    </xf>
    <xf numFmtId="0" fontId="28" fillId="2" borderId="10" xfId="0" applyFont="1" applyFill="1" applyBorder="1" applyAlignment="1">
      <alignment horizontal="left"/>
    </xf>
    <xf numFmtId="0" fontId="18" fillId="2" borderId="29" xfId="0" applyFont="1" applyFill="1" applyBorder="1" applyAlignment="1">
      <alignment horizontal="right"/>
    </xf>
    <xf numFmtId="0" fontId="18" fillId="2" borderId="0" xfId="0" applyFont="1" applyFill="1" applyBorder="1" applyAlignment="1">
      <alignment horizontal="right"/>
    </xf>
    <xf numFmtId="0" fontId="108" fillId="2" borderId="14" xfId="0" applyFont="1" applyFill="1" applyBorder="1" applyAlignment="1">
      <alignment horizontal="left" wrapText="1" shrinkToFit="1"/>
    </xf>
    <xf numFmtId="0" fontId="108" fillId="2" borderId="0" xfId="0" applyFont="1" applyFill="1" applyBorder="1" applyAlignment="1">
      <alignment horizontal="left" wrapText="1" shrinkToFit="1"/>
    </xf>
    <xf numFmtId="0" fontId="18" fillId="2" borderId="0" xfId="0" applyFont="1" applyFill="1" applyBorder="1" applyAlignment="1">
      <alignment horizontal="right" vertical="center"/>
    </xf>
    <xf numFmtId="3" fontId="23" fillId="4" borderId="28" xfId="0" applyNumberFormat="1" applyFont="1" applyFill="1" applyBorder="1" applyAlignment="1">
      <alignment horizontal="center" vertical="center"/>
    </xf>
    <xf numFmtId="3" fontId="23" fillId="4" borderId="30" xfId="0" applyNumberFormat="1" applyFont="1" applyFill="1" applyBorder="1" applyAlignment="1">
      <alignment horizontal="center" vertical="center"/>
    </xf>
    <xf numFmtId="3" fontId="23" fillId="6" borderId="14" xfId="0" applyNumberFormat="1" applyFont="1" applyFill="1" applyBorder="1" applyAlignment="1">
      <alignment horizontal="center" vertical="center"/>
    </xf>
    <xf numFmtId="3" fontId="23" fillId="6" borderId="15" xfId="0" applyNumberFormat="1" applyFont="1" applyFill="1" applyBorder="1" applyAlignment="1">
      <alignment horizontal="center" vertical="center"/>
    </xf>
    <xf numFmtId="3" fontId="31" fillId="4" borderId="16" xfId="0" applyNumberFormat="1" applyFont="1" applyFill="1" applyBorder="1" applyAlignment="1">
      <alignment horizontal="center" vertical="center"/>
    </xf>
    <xf numFmtId="3" fontId="31" fillId="4" borderId="17" xfId="0" applyNumberFormat="1" applyFont="1" applyFill="1" applyBorder="1" applyAlignment="1">
      <alignment horizontal="center" vertical="center"/>
    </xf>
    <xf numFmtId="0" fontId="12" fillId="2" borderId="0" xfId="0" applyFont="1" applyFill="1" applyBorder="1" applyAlignment="1">
      <alignment horizontal="center"/>
    </xf>
    <xf numFmtId="0" fontId="13" fillId="2" borderId="0" xfId="0" applyFont="1" applyFill="1" applyBorder="1" applyAlignment="1">
      <alignment horizontal="center" vertical="center"/>
    </xf>
    <xf numFmtId="0" fontId="11" fillId="2" borderId="10" xfId="0" applyFont="1" applyFill="1" applyBorder="1" applyAlignment="1">
      <alignment horizontal="left"/>
    </xf>
    <xf numFmtId="3" fontId="23" fillId="4" borderId="22" xfId="0" applyNumberFormat="1" applyFont="1" applyFill="1" applyBorder="1" applyAlignment="1">
      <alignment horizontal="right" vertical="center" indent="3"/>
    </xf>
    <xf numFmtId="0" fontId="40" fillId="2" borderId="0" xfId="0" applyFont="1" applyFill="1" applyBorder="1" applyAlignment="1">
      <alignment horizontal="left"/>
    </xf>
    <xf numFmtId="3" fontId="23" fillId="6" borderId="14" xfId="0" applyNumberFormat="1" applyFont="1" applyFill="1" applyBorder="1" applyAlignment="1">
      <alignment horizontal="right" vertical="center" indent="3"/>
    </xf>
    <xf numFmtId="3" fontId="23" fillId="6" borderId="15" xfId="0" applyNumberFormat="1" applyFont="1" applyFill="1" applyBorder="1" applyAlignment="1">
      <alignment horizontal="right" vertical="center" indent="3"/>
    </xf>
    <xf numFmtId="3" fontId="31" fillId="4" borderId="16" xfId="0" applyNumberFormat="1" applyFont="1" applyFill="1" applyBorder="1" applyAlignment="1">
      <alignment horizontal="right" vertical="center" indent="3"/>
    </xf>
    <xf numFmtId="3" fontId="31" fillId="4" borderId="17" xfId="0" applyNumberFormat="1" applyFont="1" applyFill="1" applyBorder="1" applyAlignment="1">
      <alignment horizontal="right" vertical="center" indent="3"/>
    </xf>
    <xf numFmtId="0" fontId="37" fillId="6" borderId="14" xfId="0" applyFont="1" applyFill="1" applyBorder="1" applyAlignment="1">
      <alignment horizontal="left" vertical="center"/>
    </xf>
    <xf numFmtId="0" fontId="37" fillId="6" borderId="0" xfId="0" applyFont="1" applyFill="1" applyBorder="1" applyAlignment="1">
      <alignment horizontal="left" vertical="center"/>
    </xf>
    <xf numFmtId="0" fontId="37" fillId="6" borderId="15" xfId="0" applyFont="1" applyFill="1" applyBorder="1" applyAlignment="1">
      <alignment horizontal="left" vertical="center"/>
    </xf>
    <xf numFmtId="2" fontId="19" fillId="5" borderId="13" xfId="0" applyNumberFormat="1" applyFont="1" applyFill="1" applyBorder="1" applyAlignment="1">
      <alignment horizontal="center" vertical="center"/>
    </xf>
    <xf numFmtId="2" fontId="30" fillId="5" borderId="15" xfId="0" applyNumberFormat="1" applyFont="1" applyFill="1" applyBorder="1" applyAlignment="1">
      <alignment horizontal="center" vertical="center"/>
    </xf>
    <xf numFmtId="2" fontId="30" fillId="5" borderId="17" xfId="0" applyNumberFormat="1" applyFont="1" applyFill="1" applyBorder="1" applyAlignment="1">
      <alignment horizontal="center" vertical="center"/>
    </xf>
    <xf numFmtId="2" fontId="19" fillId="5" borderId="28" xfId="0" applyNumberFormat="1" applyFont="1" applyFill="1" applyBorder="1" applyAlignment="1">
      <alignment horizontal="center" vertical="center"/>
    </xf>
    <xf numFmtId="2" fontId="19" fillId="5" borderId="29" xfId="0" applyNumberFormat="1" applyFont="1" applyFill="1" applyBorder="1" applyAlignment="1">
      <alignment horizontal="center" vertical="center"/>
    </xf>
    <xf numFmtId="2" fontId="19" fillId="5" borderId="30" xfId="0" applyNumberFormat="1" applyFont="1" applyFill="1" applyBorder="1" applyAlignment="1">
      <alignment horizontal="center" vertical="center"/>
    </xf>
    <xf numFmtId="2" fontId="19" fillId="5" borderId="16" xfId="0" applyNumberFormat="1" applyFont="1" applyFill="1" applyBorder="1" applyAlignment="1">
      <alignment horizontal="center" vertical="center"/>
    </xf>
    <xf numFmtId="2" fontId="19" fillId="5" borderId="34" xfId="0" applyNumberFormat="1" applyFont="1" applyFill="1" applyBorder="1" applyAlignment="1">
      <alignment horizontal="center" vertical="center"/>
    </xf>
    <xf numFmtId="2" fontId="19" fillId="5" borderId="17" xfId="0" applyNumberFormat="1" applyFont="1" applyFill="1" applyBorder="1" applyAlignment="1">
      <alignment horizontal="center" vertical="center"/>
    </xf>
    <xf numFmtId="2" fontId="19" fillId="5" borderId="20" xfId="0" applyNumberFormat="1" applyFont="1" applyFill="1" applyBorder="1" applyAlignment="1">
      <alignment horizontal="center" vertical="center"/>
    </xf>
    <xf numFmtId="2" fontId="19" fillId="5" borderId="23" xfId="0" applyNumberFormat="1" applyFont="1" applyFill="1" applyBorder="1" applyAlignment="1">
      <alignment horizontal="center" vertical="center"/>
    </xf>
    <xf numFmtId="2" fontId="19" fillId="5" borderId="21" xfId="0" applyNumberFormat="1" applyFont="1" applyFill="1" applyBorder="1" applyAlignment="1">
      <alignment horizontal="center" vertical="center"/>
    </xf>
    <xf numFmtId="2" fontId="21" fillId="6" borderId="13" xfId="0" applyNumberFormat="1" applyFont="1" applyFill="1" applyBorder="1" applyAlignment="1">
      <alignment horizontal="center" vertical="center"/>
    </xf>
    <xf numFmtId="1" fontId="21" fillId="6" borderId="13" xfId="0" applyNumberFormat="1" applyFont="1" applyFill="1" applyBorder="1" applyAlignment="1">
      <alignment horizontal="center" vertical="center"/>
    </xf>
    <xf numFmtId="0" fontId="16" fillId="2" borderId="7" xfId="0" applyFont="1" applyFill="1" applyBorder="1" applyAlignment="1">
      <alignment horizontal="right"/>
    </xf>
    <xf numFmtId="0" fontId="26" fillId="3" borderId="0" xfId="1" applyFont="1" applyFill="1" applyAlignment="1" applyProtection="1">
      <alignment horizontal="left" vertical="center" indent="1"/>
    </xf>
    <xf numFmtId="0" fontId="16" fillId="2" borderId="10" xfId="0" applyFont="1" applyFill="1" applyBorder="1" applyAlignment="1">
      <alignment horizontal="left"/>
    </xf>
    <xf numFmtId="2" fontId="30" fillId="5" borderId="13" xfId="0" applyNumberFormat="1" applyFont="1" applyFill="1" applyBorder="1" applyAlignment="1">
      <alignment horizontal="center" vertical="center"/>
    </xf>
    <xf numFmtId="0" fontId="27" fillId="2" borderId="0" xfId="1" applyFont="1" applyFill="1" applyAlignment="1" applyProtection="1">
      <alignment horizontal="left" indent="2"/>
    </xf>
    <xf numFmtId="0" fontId="24" fillId="2" borderId="7" xfId="0" applyFont="1" applyFill="1" applyBorder="1" applyAlignment="1">
      <alignment horizontal="left"/>
    </xf>
    <xf numFmtId="0" fontId="34" fillId="3" borderId="20" xfId="0" applyFont="1" applyFill="1" applyBorder="1" applyAlignment="1">
      <alignment horizontal="center" vertical="center"/>
    </xf>
    <xf numFmtId="0" fontId="34" fillId="3" borderId="23" xfId="0" applyFont="1" applyFill="1" applyBorder="1" applyAlignment="1">
      <alignment horizontal="center" vertical="center"/>
    </xf>
    <xf numFmtId="0" fontId="34" fillId="3" borderId="21" xfId="0" applyFont="1" applyFill="1" applyBorder="1" applyAlignment="1">
      <alignment horizontal="center" vertical="center"/>
    </xf>
    <xf numFmtId="0" fontId="20" fillId="3" borderId="22" xfId="0" applyFont="1" applyFill="1" applyBorder="1" applyAlignment="1">
      <alignment horizontal="left" vertical="center" indent="1"/>
    </xf>
    <xf numFmtId="0" fontId="20" fillId="3" borderId="19" xfId="0" applyFont="1" applyFill="1" applyBorder="1" applyAlignment="1">
      <alignment horizontal="left" vertical="center" indent="1"/>
    </xf>
    <xf numFmtId="0" fontId="18" fillId="2" borderId="14" xfId="0" applyFont="1" applyFill="1" applyBorder="1" applyAlignment="1">
      <alignment horizontal="left"/>
    </xf>
    <xf numFmtId="0" fontId="18" fillId="2" borderId="0" xfId="0" applyFont="1" applyFill="1" applyBorder="1" applyAlignment="1">
      <alignment horizontal="left"/>
    </xf>
    <xf numFmtId="0" fontId="43" fillId="2" borderId="0" xfId="0" applyFont="1" applyFill="1" applyBorder="1" applyAlignment="1">
      <alignment horizontal="center" vertical="center" wrapText="1" shrinkToFit="1"/>
    </xf>
    <xf numFmtId="0" fontId="42" fillId="2" borderId="25" xfId="0" applyFont="1" applyFill="1" applyBorder="1" applyAlignment="1">
      <alignment horizontal="left"/>
    </xf>
    <xf numFmtId="0" fontId="47" fillId="2" borderId="0" xfId="0" applyFont="1" applyFill="1" applyAlignment="1">
      <alignment horizontal="left" wrapText="1" shrinkToFit="1"/>
    </xf>
    <xf numFmtId="0" fontId="47" fillId="2" borderId="0" xfId="0" applyFont="1" applyFill="1" applyAlignment="1">
      <alignment horizontal="left" wrapText="1" indent="3" shrinkToFit="1"/>
    </xf>
    <xf numFmtId="0" fontId="6" fillId="2" borderId="36" xfId="0" applyFont="1" applyFill="1" applyBorder="1" applyAlignment="1">
      <alignment horizontal="center"/>
    </xf>
    <xf numFmtId="0" fontId="47" fillId="2" borderId="0" xfId="0" applyFont="1" applyFill="1" applyAlignment="1">
      <alignment horizontal="left"/>
    </xf>
    <xf numFmtId="0" fontId="38" fillId="10" borderId="20" xfId="0" applyFont="1" applyFill="1" applyBorder="1" applyAlignment="1">
      <alignment horizontal="center" vertical="center" wrapText="1" shrinkToFit="1"/>
    </xf>
    <xf numFmtId="0" fontId="38" fillId="10" borderId="21" xfId="0" applyFont="1" applyFill="1" applyBorder="1" applyAlignment="1">
      <alignment horizontal="center" vertical="center" wrapText="1" shrinkToFit="1"/>
    </xf>
    <xf numFmtId="0" fontId="30" fillId="10" borderId="28" xfId="0" applyFont="1" applyFill="1" applyBorder="1" applyAlignment="1">
      <alignment horizontal="center" vertical="center"/>
    </xf>
    <xf numFmtId="0" fontId="30" fillId="10" borderId="16" xfId="0" applyFont="1" applyFill="1" applyBorder="1" applyAlignment="1">
      <alignment horizontal="center" vertical="center"/>
    </xf>
    <xf numFmtId="0" fontId="41" fillId="2" borderId="29" xfId="0" applyFont="1" applyFill="1" applyBorder="1" applyAlignment="1">
      <alignment horizontal="left" wrapText="1" shrinkToFit="1"/>
    </xf>
    <xf numFmtId="0" fontId="33" fillId="10" borderId="20" xfId="0" applyFont="1" applyFill="1" applyBorder="1" applyAlignment="1">
      <alignment horizontal="center" vertical="center"/>
    </xf>
    <xf numFmtId="0" fontId="33" fillId="10" borderId="23" xfId="0" applyFont="1" applyFill="1" applyBorder="1" applyAlignment="1">
      <alignment horizontal="center" vertical="center"/>
    </xf>
    <xf numFmtId="0" fontId="19" fillId="10" borderId="47" xfId="0" applyFont="1" applyFill="1" applyBorder="1" applyAlignment="1">
      <alignment horizontal="center" vertical="center"/>
    </xf>
    <xf numFmtId="0" fontId="19" fillId="10" borderId="23" xfId="0" applyFont="1" applyFill="1" applyBorder="1" applyAlignment="1">
      <alignment horizontal="center" vertical="center"/>
    </xf>
    <xf numFmtId="0" fontId="19" fillId="10" borderId="21" xfId="0" applyFont="1" applyFill="1" applyBorder="1" applyAlignment="1">
      <alignment horizontal="center" vertical="center"/>
    </xf>
    <xf numFmtId="0" fontId="98" fillId="11" borderId="13" xfId="0" applyFont="1" applyFill="1" applyBorder="1" applyAlignment="1">
      <alignment horizontal="center" vertical="center" wrapText="1" shrinkToFit="1"/>
    </xf>
    <xf numFmtId="0" fontId="30" fillId="10" borderId="13" xfId="0" applyFont="1" applyFill="1" applyBorder="1" applyAlignment="1">
      <alignment horizontal="center" vertical="center"/>
    </xf>
    <xf numFmtId="0" fontId="41" fillId="2" borderId="0" xfId="0" applyFont="1" applyFill="1" applyAlignment="1">
      <alignment horizontal="left" wrapText="1" indent="3" shrinkToFit="1"/>
    </xf>
    <xf numFmtId="0" fontId="43" fillId="2" borderId="0" xfId="0" applyFont="1" applyFill="1" applyBorder="1" applyAlignment="1">
      <alignment horizontal="center" vertical="center"/>
    </xf>
    <xf numFmtId="0" fontId="37" fillId="11" borderId="20" xfId="0" applyFont="1" applyFill="1" applyBorder="1" applyAlignment="1">
      <alignment horizontal="left" vertical="center"/>
    </xf>
    <xf numFmtId="0" fontId="37" fillId="11" borderId="23" xfId="0" applyFont="1" applyFill="1" applyBorder="1" applyAlignment="1">
      <alignment horizontal="left" vertical="center"/>
    </xf>
    <xf numFmtId="0" fontId="37" fillId="11" borderId="21" xfId="0" applyFont="1" applyFill="1" applyBorder="1" applyAlignment="1">
      <alignment horizontal="left" vertical="center"/>
    </xf>
    <xf numFmtId="0" fontId="37" fillId="11" borderId="13" xfId="0" applyFont="1" applyFill="1" applyBorder="1" applyAlignment="1">
      <alignment horizontal="left" vertical="center"/>
    </xf>
    <xf numFmtId="0" fontId="41" fillId="2" borderId="0" xfId="0" applyFont="1" applyFill="1" applyBorder="1" applyAlignment="1">
      <alignment horizontal="left"/>
    </xf>
    <xf numFmtId="0" fontId="33" fillId="10" borderId="20" xfId="0" applyFont="1" applyFill="1" applyBorder="1" applyAlignment="1">
      <alignment horizontal="center" vertical="center" wrapText="1" shrinkToFit="1"/>
    </xf>
    <xf numFmtId="0" fontId="33" fillId="10" borderId="21" xfId="0" applyFont="1" applyFill="1" applyBorder="1" applyAlignment="1">
      <alignment horizontal="center" vertical="center" wrapText="1" shrinkToFit="1"/>
    </xf>
    <xf numFmtId="0" fontId="33" fillId="10" borderId="13" xfId="0" applyFont="1" applyFill="1" applyBorder="1" applyAlignment="1">
      <alignment horizontal="center" vertical="center"/>
    </xf>
    <xf numFmtId="0" fontId="24" fillId="2" borderId="24" xfId="0" applyFont="1" applyFill="1" applyBorder="1" applyAlignment="1">
      <alignment horizontal="left"/>
    </xf>
    <xf numFmtId="0" fontId="26" fillId="10" borderId="0" xfId="1" applyFont="1" applyFill="1" applyAlignment="1" applyProtection="1">
      <alignment horizontal="left" vertical="center" indent="1"/>
    </xf>
    <xf numFmtId="0" fontId="46" fillId="2" borderId="0" xfId="1" applyFont="1" applyFill="1" applyAlignment="1" applyProtection="1">
      <alignment horizontal="left" indent="2"/>
    </xf>
    <xf numFmtId="0" fontId="42" fillId="2" borderId="24" xfId="0" applyFont="1" applyFill="1" applyBorder="1" applyAlignment="1">
      <alignment horizontal="right"/>
    </xf>
    <xf numFmtId="0" fontId="99" fillId="2" borderId="51" xfId="0" applyFont="1" applyFill="1" applyBorder="1" applyAlignment="1">
      <alignment horizontal="center" vertical="center"/>
    </xf>
    <xf numFmtId="0" fontId="99" fillId="2" borderId="0" xfId="0" applyFont="1" applyFill="1" applyBorder="1" applyAlignment="1">
      <alignment horizontal="center" vertical="center"/>
    </xf>
    <xf numFmtId="0" fontId="99" fillId="2" borderId="52" xfId="0" applyFont="1" applyFill="1" applyBorder="1" applyAlignment="1">
      <alignment horizontal="center" vertical="center"/>
    </xf>
    <xf numFmtId="0" fontId="99" fillId="2" borderId="64" xfId="0" applyFont="1" applyFill="1" applyBorder="1" applyAlignment="1">
      <alignment horizontal="center" vertical="center"/>
    </xf>
    <xf numFmtId="0" fontId="99" fillId="2" borderId="65" xfId="0" applyFont="1" applyFill="1" applyBorder="1" applyAlignment="1">
      <alignment horizontal="center" vertical="center"/>
    </xf>
    <xf numFmtId="0" fontId="99" fillId="2" borderId="66" xfId="0" applyFont="1" applyFill="1" applyBorder="1" applyAlignment="1">
      <alignment horizontal="center" vertical="center"/>
    </xf>
    <xf numFmtId="0" fontId="12" fillId="15" borderId="58" xfId="0" applyFont="1" applyFill="1" applyBorder="1" applyAlignment="1">
      <alignment horizontal="center"/>
    </xf>
    <xf numFmtId="0" fontId="12" fillId="15" borderId="59" xfId="0" applyFont="1" applyFill="1" applyBorder="1" applyAlignment="1">
      <alignment horizontal="center"/>
    </xf>
    <xf numFmtId="0" fontId="12" fillId="15" borderId="60" xfId="0" applyFont="1" applyFill="1" applyBorder="1" applyAlignment="1">
      <alignment horizontal="center"/>
    </xf>
    <xf numFmtId="0" fontId="88" fillId="12" borderId="20" xfId="0" applyFont="1" applyFill="1" applyBorder="1" applyAlignment="1">
      <alignment horizontal="center" vertical="center" wrapText="1" shrinkToFit="1"/>
    </xf>
    <xf numFmtId="0" fontId="88" fillId="12" borderId="23" xfId="0" applyFont="1" applyFill="1" applyBorder="1" applyAlignment="1">
      <alignment horizontal="center" vertical="center" wrapText="1" shrinkToFit="1"/>
    </xf>
    <xf numFmtId="0" fontId="88" fillId="12" borderId="21" xfId="0" applyFont="1" applyFill="1" applyBorder="1" applyAlignment="1">
      <alignment horizontal="center" vertical="center" wrapText="1" shrinkToFit="1"/>
    </xf>
    <xf numFmtId="0" fontId="99" fillId="2" borderId="61" xfId="0" applyFont="1" applyFill="1" applyBorder="1" applyAlignment="1">
      <alignment horizontal="center" vertical="center"/>
    </xf>
    <xf numFmtId="0" fontId="99" fillId="2" borderId="62" xfId="0" applyFont="1" applyFill="1" applyBorder="1" applyAlignment="1">
      <alignment horizontal="center" vertical="center"/>
    </xf>
    <xf numFmtId="0" fontId="99" fillId="2" borderId="63" xfId="0" applyFont="1" applyFill="1" applyBorder="1" applyAlignment="1">
      <alignment horizontal="center" vertical="center"/>
    </xf>
    <xf numFmtId="0" fontId="51" fillId="2" borderId="39" xfId="0" applyFont="1" applyFill="1" applyBorder="1" applyAlignment="1">
      <alignment horizontal="left"/>
    </xf>
    <xf numFmtId="0" fontId="77" fillId="2" borderId="0" xfId="0" applyFont="1" applyFill="1" applyAlignment="1">
      <alignment horizontal="left" wrapText="1" shrinkToFit="1"/>
    </xf>
    <xf numFmtId="0" fontId="6" fillId="2" borderId="37" xfId="0" applyFont="1" applyFill="1" applyBorder="1" applyAlignment="1">
      <alignment horizontal="center"/>
    </xf>
    <xf numFmtId="0" fontId="38" fillId="12" borderId="22" xfId="0" applyFont="1" applyFill="1" applyBorder="1" applyAlignment="1">
      <alignment horizontal="center" vertical="center"/>
    </xf>
    <xf numFmtId="0" fontId="38" fillId="12" borderId="18" xfId="0" applyFont="1" applyFill="1" applyBorder="1" applyAlignment="1">
      <alignment horizontal="center" vertical="center"/>
    </xf>
    <xf numFmtId="0" fontId="100" fillId="2" borderId="0" xfId="0" applyFont="1" applyFill="1" applyAlignment="1">
      <alignment horizontal="center"/>
    </xf>
    <xf numFmtId="0" fontId="24" fillId="2" borderId="26" xfId="0" applyFont="1" applyFill="1" applyBorder="1" applyAlignment="1">
      <alignment horizontal="left"/>
    </xf>
    <xf numFmtId="0" fontId="51" fillId="2" borderId="26" xfId="0" applyFont="1" applyFill="1" applyBorder="1" applyAlignment="1">
      <alignment horizontal="right"/>
    </xf>
    <xf numFmtId="0" fontId="26" fillId="12" borderId="0" xfId="1" applyFont="1" applyFill="1" applyAlignment="1" applyProtection="1">
      <alignment horizontal="left" vertical="center" indent="1"/>
    </xf>
    <xf numFmtId="0" fontId="68" fillId="2" borderId="0" xfId="1" applyFont="1" applyFill="1" applyAlignment="1" applyProtection="1">
      <alignment horizontal="left" indent="2"/>
    </xf>
    <xf numFmtId="0" fontId="20" fillId="12" borderId="28" xfId="0" applyFont="1" applyFill="1" applyBorder="1" applyAlignment="1">
      <alignment horizontal="left" vertical="center" wrapText="1" shrinkToFit="1"/>
    </xf>
    <xf numFmtId="0" fontId="20" fillId="12" borderId="29" xfId="0" applyFont="1" applyFill="1" applyBorder="1" applyAlignment="1">
      <alignment horizontal="left" vertical="center" wrapText="1" shrinkToFit="1"/>
    </xf>
    <xf numFmtId="0" fontId="20" fillId="12" borderId="30" xfId="0" applyFont="1" applyFill="1" applyBorder="1" applyAlignment="1">
      <alignment horizontal="left" vertical="center" wrapText="1" shrinkToFit="1"/>
    </xf>
    <xf numFmtId="165" fontId="35" fillId="2" borderId="14" xfId="0" applyNumberFormat="1" applyFont="1" applyFill="1" applyBorder="1" applyAlignment="1">
      <alignment horizontal="left" vertical="center" indent="1"/>
    </xf>
    <xf numFmtId="165" fontId="35" fillId="2" borderId="0" xfId="0" applyNumberFormat="1" applyFont="1" applyFill="1" applyBorder="1" applyAlignment="1">
      <alignment horizontal="left" vertical="center" indent="1"/>
    </xf>
    <xf numFmtId="165" fontId="35" fillId="2" borderId="15" xfId="0" applyNumberFormat="1" applyFont="1" applyFill="1" applyBorder="1" applyAlignment="1">
      <alignment horizontal="left" vertical="center" indent="1"/>
    </xf>
    <xf numFmtId="165" fontId="35" fillId="15" borderId="14" xfId="0" applyNumberFormat="1" applyFont="1" applyFill="1" applyBorder="1" applyAlignment="1">
      <alignment horizontal="left" vertical="center" indent="1"/>
    </xf>
    <xf numFmtId="165" fontId="35" fillId="15" borderId="0" xfId="0" applyNumberFormat="1" applyFont="1" applyFill="1" applyBorder="1" applyAlignment="1">
      <alignment horizontal="left" vertical="center" indent="1"/>
    </xf>
    <xf numFmtId="165" fontId="35" fillId="15" borderId="15" xfId="0" applyNumberFormat="1" applyFont="1" applyFill="1" applyBorder="1" applyAlignment="1">
      <alignment horizontal="left" vertical="center" indent="1"/>
    </xf>
    <xf numFmtId="165" fontId="64" fillId="2" borderId="16" xfId="0" applyNumberFormat="1" applyFont="1" applyFill="1" applyBorder="1" applyAlignment="1">
      <alignment horizontal="left" vertical="center" wrapText="1" indent="1" shrinkToFit="1"/>
    </xf>
    <xf numFmtId="165" fontId="64" fillId="2" borderId="34" xfId="0" applyNumberFormat="1" applyFont="1" applyFill="1" applyBorder="1" applyAlignment="1">
      <alignment horizontal="left" vertical="center" wrapText="1" indent="1" shrinkToFit="1"/>
    </xf>
    <xf numFmtId="165" fontId="64" fillId="2" borderId="17" xfId="0" applyNumberFormat="1" applyFont="1" applyFill="1" applyBorder="1" applyAlignment="1">
      <alignment horizontal="left" vertical="center" wrapText="1" indent="1" shrinkToFit="1"/>
    </xf>
    <xf numFmtId="0" fontId="35" fillId="2" borderId="14" xfId="0" applyFont="1" applyFill="1" applyBorder="1" applyAlignment="1">
      <alignment horizontal="left" vertical="center" indent="1"/>
    </xf>
    <xf numFmtId="0" fontId="35" fillId="2" borderId="0" xfId="0" applyFont="1" applyFill="1" applyBorder="1" applyAlignment="1">
      <alignment horizontal="left" vertical="center" indent="1"/>
    </xf>
    <xf numFmtId="0" fontId="35" fillId="2" borderId="15" xfId="0" applyFont="1" applyFill="1" applyBorder="1" applyAlignment="1">
      <alignment horizontal="left" vertical="center" indent="1"/>
    </xf>
    <xf numFmtId="0" fontId="55" fillId="2" borderId="0" xfId="1" applyFont="1" applyFill="1" applyAlignment="1" applyProtection="1">
      <alignment horizontal="left" vertical="center" indent="2"/>
    </xf>
    <xf numFmtId="0" fontId="55" fillId="2" borderId="0" xfId="1" applyFont="1" applyFill="1" applyAlignment="1" applyProtection="1">
      <alignment horizontal="left" vertical="center" indent="1"/>
    </xf>
    <xf numFmtId="0" fontId="24" fillId="2" borderId="11" xfId="0" applyFont="1" applyFill="1" applyBorder="1" applyAlignment="1">
      <alignment horizontal="left"/>
    </xf>
    <xf numFmtId="0" fontId="53" fillId="2" borderId="11" xfId="0" applyFont="1" applyFill="1" applyBorder="1" applyAlignment="1">
      <alignment horizontal="right"/>
    </xf>
    <xf numFmtId="0" fontId="26" fillId="9" borderId="0" xfId="1" applyFont="1" applyFill="1" applyAlignment="1" applyProtection="1">
      <alignment horizontal="left" vertical="center" indent="1"/>
    </xf>
    <xf numFmtId="0" fontId="50" fillId="2" borderId="0" xfId="1" applyFont="1" applyFill="1" applyAlignment="1" applyProtection="1">
      <alignment horizontal="left" vertical="center" indent="1"/>
    </xf>
    <xf numFmtId="0" fontId="35" fillId="8" borderId="14" xfId="0" applyFont="1" applyFill="1" applyBorder="1" applyAlignment="1">
      <alignment horizontal="left" vertical="center" indent="1"/>
    </xf>
    <xf numFmtId="0" fontId="35" fillId="8" borderId="0" xfId="0" applyFont="1" applyFill="1" applyBorder="1" applyAlignment="1">
      <alignment horizontal="left" vertical="center" indent="1"/>
    </xf>
    <xf numFmtId="0" fontId="35" fillId="8" borderId="15" xfId="0" applyFont="1" applyFill="1" applyBorder="1" applyAlignment="1">
      <alignment horizontal="left" vertical="center" indent="1"/>
    </xf>
    <xf numFmtId="0" fontId="49" fillId="2" borderId="0" xfId="0" applyFont="1" applyFill="1" applyAlignment="1">
      <alignment horizontal="left" wrapText="1" shrinkToFit="1"/>
    </xf>
    <xf numFmtId="0" fontId="6" fillId="2" borderId="38" xfId="0" applyFont="1" applyFill="1" applyBorder="1" applyAlignment="1">
      <alignment horizontal="center"/>
    </xf>
    <xf numFmtId="0" fontId="49" fillId="2" borderId="0" xfId="0" applyFont="1" applyFill="1" applyAlignment="1">
      <alignment horizontal="left"/>
    </xf>
    <xf numFmtId="0" fontId="53" fillId="2" borderId="12" xfId="0" applyFont="1" applyFill="1" applyBorder="1" applyAlignment="1">
      <alignment horizontal="left"/>
    </xf>
    <xf numFmtId="0" fontId="35" fillId="8" borderId="16" xfId="0" applyFont="1" applyFill="1" applyBorder="1" applyAlignment="1">
      <alignment horizontal="left" vertical="center" indent="1"/>
    </xf>
    <xf numFmtId="0" fontId="35" fillId="8" borderId="34" xfId="0" applyFont="1" applyFill="1" applyBorder="1" applyAlignment="1">
      <alignment horizontal="left" vertical="center" indent="1"/>
    </xf>
    <xf numFmtId="0" fontId="35" fillId="8" borderId="17" xfId="0" applyFont="1" applyFill="1" applyBorder="1" applyAlignment="1">
      <alignment horizontal="left" vertical="center" indent="1"/>
    </xf>
    <xf numFmtId="0" fontId="20" fillId="9" borderId="28" xfId="0" applyFont="1" applyFill="1" applyBorder="1" applyAlignment="1">
      <alignment horizontal="left" vertical="center"/>
    </xf>
    <xf numFmtId="0" fontId="20" fillId="9" borderId="29" xfId="0" applyFont="1" applyFill="1" applyBorder="1" applyAlignment="1">
      <alignment horizontal="left" vertical="center"/>
    </xf>
    <xf numFmtId="0" fontId="20" fillId="9" borderId="30" xfId="0" applyFont="1" applyFill="1" applyBorder="1" applyAlignment="1">
      <alignment horizontal="left" vertical="center"/>
    </xf>
    <xf numFmtId="0" fontId="50" fillId="2" borderId="16" xfId="0" applyFont="1" applyFill="1" applyBorder="1" applyAlignment="1">
      <alignment horizontal="left" vertical="center" wrapText="1" indent="1" shrinkToFit="1"/>
    </xf>
    <xf numFmtId="0" fontId="50" fillId="2" borderId="34" xfId="0" applyFont="1" applyFill="1" applyBorder="1" applyAlignment="1">
      <alignment horizontal="left" vertical="center" wrapText="1" indent="1" shrinkToFit="1"/>
    </xf>
    <xf numFmtId="0" fontId="50" fillId="2" borderId="17" xfId="0" applyFont="1" applyFill="1" applyBorder="1" applyAlignment="1">
      <alignment horizontal="left" vertical="center" wrapText="1" indent="1" shrinkToFit="1"/>
    </xf>
    <xf numFmtId="0" fontId="40" fillId="2" borderId="0" xfId="0" applyFont="1" applyFill="1" applyBorder="1" applyAlignment="1">
      <alignment horizontal="right"/>
    </xf>
    <xf numFmtId="0" fontId="18" fillId="2" borderId="0" xfId="0" applyFont="1" applyFill="1" applyAlignment="1">
      <alignment horizontal="right"/>
    </xf>
    <xf numFmtId="0" fontId="21" fillId="2" borderId="0" xfId="0" applyFont="1" applyFill="1" applyAlignment="1">
      <alignment horizontal="justify" wrapText="1" shrinkToFit="1"/>
    </xf>
    <xf numFmtId="0" fontId="39" fillId="4" borderId="0" xfId="0" applyFont="1" applyFill="1" applyAlignment="1">
      <alignment horizontal="left" indent="1"/>
    </xf>
    <xf numFmtId="0" fontId="6" fillId="4" borderId="38" xfId="0" applyFont="1" applyFill="1" applyBorder="1" applyAlignment="1">
      <alignment horizontal="center"/>
    </xf>
    <xf numFmtId="0" fontId="40" fillId="4" borderId="0" xfId="1" applyFont="1" applyFill="1" applyAlignment="1" applyProtection="1">
      <alignment horizontal="left"/>
    </xf>
    <xf numFmtId="0" fontId="21" fillId="4" borderId="0" xfId="0" applyFont="1" applyFill="1" applyAlignment="1">
      <alignment horizontal="left" wrapText="1" indent="15" shrinkToFit="1"/>
    </xf>
    <xf numFmtId="0" fontId="49" fillId="4" borderId="0" xfId="0" applyFont="1" applyFill="1" applyAlignment="1">
      <alignment horizontal="left" vertical="center" wrapText="1" shrinkToFit="1"/>
    </xf>
    <xf numFmtId="0" fontId="19" fillId="9" borderId="41" xfId="0" applyFont="1" applyFill="1" applyBorder="1" applyAlignment="1">
      <alignment horizontal="center" vertical="center" wrapText="1" shrinkToFit="1"/>
    </xf>
    <xf numFmtId="49" fontId="19" fillId="9" borderId="40" xfId="0" applyNumberFormat="1" applyFont="1" applyFill="1" applyBorder="1" applyAlignment="1">
      <alignment horizontal="center" vertical="center" wrapText="1" shrinkToFit="1"/>
    </xf>
    <xf numFmtId="0" fontId="19" fillId="9" borderId="40" xfId="0" applyNumberFormat="1" applyFont="1" applyFill="1" applyBorder="1" applyAlignment="1">
      <alignment horizontal="center" vertical="center" wrapText="1" shrinkToFit="1"/>
    </xf>
    <xf numFmtId="0" fontId="7" fillId="4" borderId="0" xfId="0" applyFont="1" applyFill="1" applyAlignment="1">
      <alignment horizontal="justify" vertical="top" wrapText="1" shrinkToFit="1"/>
    </xf>
    <xf numFmtId="0" fontId="18" fillId="2" borderId="49" xfId="0" applyFont="1" applyFill="1" applyBorder="1" applyAlignment="1">
      <alignment horizontal="right" vertical="center"/>
    </xf>
    <xf numFmtId="0" fontId="56" fillId="2" borderId="51" xfId="0" applyFont="1" applyFill="1" applyBorder="1" applyAlignment="1">
      <alignment horizontal="center"/>
    </xf>
    <xf numFmtId="0" fontId="56" fillId="2" borderId="0" xfId="0" applyFont="1" applyFill="1" applyBorder="1" applyAlignment="1">
      <alignment horizontal="center"/>
    </xf>
    <xf numFmtId="0" fontId="56" fillId="2" borderId="69" xfId="0" applyFont="1" applyFill="1" applyBorder="1" applyAlignment="1">
      <alignment horizontal="center"/>
    </xf>
    <xf numFmtId="0" fontId="12" fillId="2" borderId="67" xfId="0" applyFont="1" applyFill="1" applyBorder="1" applyAlignment="1">
      <alignment horizontal="center"/>
    </xf>
    <xf numFmtId="0" fontId="12" fillId="2" borderId="52" xfId="0" applyFont="1" applyFill="1" applyBorder="1" applyAlignment="1">
      <alignment horizontal="center"/>
    </xf>
    <xf numFmtId="0" fontId="56" fillId="2" borderId="64" xfId="0" applyFont="1" applyFill="1" applyBorder="1" applyAlignment="1">
      <alignment horizontal="center"/>
    </xf>
    <xf numFmtId="0" fontId="56" fillId="2" borderId="65" xfId="0" applyFont="1" applyFill="1" applyBorder="1" applyAlignment="1">
      <alignment horizontal="center"/>
    </xf>
    <xf numFmtId="0" fontId="56" fillId="2" borderId="70" xfId="0" applyFont="1" applyFill="1" applyBorder="1" applyAlignment="1">
      <alignment horizontal="center"/>
    </xf>
    <xf numFmtId="0" fontId="12" fillId="8" borderId="72" xfId="0" applyFont="1" applyFill="1" applyBorder="1" applyAlignment="1">
      <alignment horizontal="center"/>
    </xf>
    <xf numFmtId="0" fontId="12" fillId="8" borderId="73" xfId="0" applyFont="1" applyFill="1" applyBorder="1" applyAlignment="1">
      <alignment horizontal="center"/>
    </xf>
    <xf numFmtId="0" fontId="12" fillId="8" borderId="74" xfId="0" applyFont="1" applyFill="1" applyBorder="1" applyAlignment="1">
      <alignment horizontal="center"/>
    </xf>
    <xf numFmtId="0" fontId="12" fillId="2" borderId="75" xfId="0" applyFont="1" applyFill="1" applyBorder="1" applyAlignment="1">
      <alignment horizontal="center"/>
    </xf>
    <xf numFmtId="0" fontId="12" fillId="2" borderId="54" xfId="0" applyFont="1" applyFill="1" applyBorder="1" applyAlignment="1">
      <alignment horizontal="center"/>
    </xf>
    <xf numFmtId="0" fontId="12" fillId="2" borderId="55" xfId="0" applyFont="1" applyFill="1" applyBorder="1" applyAlignment="1">
      <alignment horizontal="center"/>
    </xf>
    <xf numFmtId="0" fontId="102" fillId="2" borderId="0" xfId="0" applyFont="1" applyFill="1" applyBorder="1" applyAlignment="1">
      <alignment horizontal="center"/>
    </xf>
    <xf numFmtId="0" fontId="12" fillId="2" borderId="71" xfId="0" applyFont="1" applyFill="1" applyBorder="1" applyAlignment="1">
      <alignment horizontal="center"/>
    </xf>
    <xf numFmtId="0" fontId="12" fillId="2" borderId="49" xfId="0" applyFont="1" applyFill="1" applyBorder="1" applyAlignment="1">
      <alignment horizontal="center"/>
    </xf>
    <xf numFmtId="0" fontId="12" fillId="2" borderId="50" xfId="0" applyFont="1" applyFill="1" applyBorder="1" applyAlignment="1">
      <alignment horizontal="center"/>
    </xf>
    <xf numFmtId="0" fontId="56" fillId="2" borderId="61" xfId="0" applyFont="1" applyFill="1" applyBorder="1" applyAlignment="1">
      <alignment horizontal="center"/>
    </xf>
    <xf numFmtId="0" fontId="56" fillId="2" borderId="62" xfId="0" applyFont="1" applyFill="1" applyBorder="1" applyAlignment="1">
      <alignment horizontal="center"/>
    </xf>
    <xf numFmtId="0" fontId="56" fillId="2" borderId="68" xfId="0" applyFont="1" applyFill="1" applyBorder="1" applyAlignment="1">
      <alignment horizontal="center"/>
    </xf>
    <xf numFmtId="0" fontId="5" fillId="2" borderId="11" xfId="0" applyFont="1" applyFill="1" applyBorder="1" applyAlignment="1">
      <alignment horizontal="right"/>
    </xf>
    <xf numFmtId="0" fontId="102" fillId="2" borderId="54" xfId="0" applyFont="1" applyFill="1" applyBorder="1" applyAlignment="1">
      <alignment horizontal="center"/>
    </xf>
    <xf numFmtId="0" fontId="88" fillId="9" borderId="20" xfId="0" applyFont="1" applyFill="1" applyBorder="1" applyAlignment="1">
      <alignment horizontal="center" vertical="center" wrapText="1" shrinkToFit="1"/>
    </xf>
    <xf numFmtId="0" fontId="88" fillId="9" borderId="23" xfId="0" applyFont="1" applyFill="1" applyBorder="1" applyAlignment="1">
      <alignment horizontal="center" vertical="center" wrapText="1" shrinkToFit="1"/>
    </xf>
    <xf numFmtId="0" fontId="88" fillId="9" borderId="21" xfId="0" applyFont="1" applyFill="1" applyBorder="1" applyAlignment="1">
      <alignment horizontal="center" vertical="center" wrapText="1" shrinkToFit="1"/>
    </xf>
    <xf numFmtId="0" fontId="38" fillId="9" borderId="22" xfId="0" applyFont="1" applyFill="1" applyBorder="1" applyAlignment="1">
      <alignment horizontal="center" vertical="center"/>
    </xf>
    <xf numFmtId="0" fontId="38" fillId="9" borderId="19" xfId="0" applyFont="1" applyFill="1" applyBorder="1" applyAlignment="1">
      <alignment horizontal="center" vertical="center"/>
    </xf>
    <xf numFmtId="0" fontId="41" fillId="2" borderId="29" xfId="0" applyFont="1" applyFill="1" applyBorder="1" applyAlignment="1">
      <alignment horizontal="left"/>
    </xf>
    <xf numFmtId="165" fontId="50" fillId="2" borderId="16" xfId="0" applyNumberFormat="1" applyFont="1" applyFill="1" applyBorder="1" applyAlignment="1">
      <alignment horizontal="right" vertical="center" indent="1"/>
    </xf>
    <xf numFmtId="165" fontId="50" fillId="2" borderId="17" xfId="0" applyNumberFormat="1" applyFont="1" applyFill="1" applyBorder="1" applyAlignment="1">
      <alignment horizontal="right" vertical="center" indent="1"/>
    </xf>
    <xf numFmtId="165" fontId="50" fillId="2" borderId="16" xfId="0" applyNumberFormat="1" applyFont="1" applyFill="1" applyBorder="1" applyAlignment="1">
      <alignment horizontal="center" vertical="center"/>
    </xf>
    <xf numFmtId="165" fontId="50" fillId="2" borderId="17" xfId="0" applyNumberFormat="1" applyFont="1" applyFill="1" applyBorder="1" applyAlignment="1">
      <alignment horizontal="center" vertical="center"/>
    </xf>
    <xf numFmtId="49" fontId="34" fillId="9" borderId="13" xfId="0" applyNumberFormat="1" applyFont="1" applyFill="1" applyBorder="1" applyAlignment="1">
      <alignment horizontal="center" vertical="center"/>
    </xf>
    <xf numFmtId="165" fontId="35" fillId="2" borderId="28" xfId="0" applyNumberFormat="1" applyFont="1" applyFill="1" applyBorder="1" applyAlignment="1">
      <alignment horizontal="center" vertical="center"/>
    </xf>
    <xf numFmtId="165" fontId="35" fillId="2" borderId="30" xfId="0" applyNumberFormat="1" applyFont="1" applyFill="1" applyBorder="1" applyAlignment="1">
      <alignment horizontal="center" vertical="center"/>
    </xf>
    <xf numFmtId="165" fontId="35" fillId="8" borderId="14" xfId="0" applyNumberFormat="1" applyFont="1" applyFill="1" applyBorder="1" applyAlignment="1">
      <alignment horizontal="center" vertical="center"/>
    </xf>
    <xf numFmtId="165" fontId="35" fillId="8" borderId="15" xfId="0" applyNumberFormat="1" applyFont="1" applyFill="1" applyBorder="1" applyAlignment="1">
      <alignment horizontal="center" vertical="center"/>
    </xf>
    <xf numFmtId="0" fontId="34" fillId="9" borderId="20" xfId="0" applyFont="1" applyFill="1" applyBorder="1" applyAlignment="1">
      <alignment horizontal="center" vertical="center"/>
    </xf>
    <xf numFmtId="0" fontId="34" fillId="9" borderId="21" xfId="0" applyFont="1" applyFill="1" applyBorder="1" applyAlignment="1">
      <alignment horizontal="center" vertical="center"/>
    </xf>
    <xf numFmtId="165" fontId="35" fillId="2" borderId="28" xfId="0" applyNumberFormat="1" applyFont="1" applyFill="1" applyBorder="1" applyAlignment="1">
      <alignment horizontal="right" vertical="center" indent="1"/>
    </xf>
    <xf numFmtId="165" fontId="35" fillId="2" borderId="30" xfId="0" applyNumberFormat="1" applyFont="1" applyFill="1" applyBorder="1" applyAlignment="1">
      <alignment horizontal="right" vertical="center" indent="1"/>
    </xf>
    <xf numFmtId="165" fontId="35" fillId="8" borderId="14" xfId="0" applyNumberFormat="1" applyFont="1" applyFill="1" applyBorder="1" applyAlignment="1">
      <alignment horizontal="right" vertical="center" indent="1"/>
    </xf>
    <xf numFmtId="165" fontId="35" fillId="8" borderId="15" xfId="0" applyNumberFormat="1" applyFont="1" applyFill="1" applyBorder="1" applyAlignment="1">
      <alignment horizontal="right" vertical="center" indent="1"/>
    </xf>
    <xf numFmtId="0" fontId="4" fillId="2" borderId="29" xfId="0" applyFont="1" applyFill="1" applyBorder="1" applyAlignment="1">
      <alignment horizontal="left" wrapText="1" shrinkToFit="1"/>
    </xf>
    <xf numFmtId="0" fontId="4" fillId="2" borderId="29" xfId="0" applyFont="1" applyFill="1" applyBorder="1" applyAlignment="1">
      <alignment horizontal="left"/>
    </xf>
    <xf numFmtId="0" fontId="41" fillId="2" borderId="0" xfId="0" applyFont="1" applyFill="1" applyAlignment="1">
      <alignment horizontal="left" vertical="top"/>
    </xf>
    <xf numFmtId="0" fontId="41" fillId="2" borderId="0" xfId="0" applyFont="1" applyFill="1" applyAlignment="1">
      <alignment horizontal="left" vertical="center"/>
    </xf>
    <xf numFmtId="0" fontId="87" fillId="2" borderId="0" xfId="0" applyFont="1" applyFill="1" applyAlignment="1">
      <alignment horizontal="right" vertical="center" wrapText="1" indent="3" shrinkToFit="1"/>
    </xf>
    <xf numFmtId="0" fontId="87" fillId="2" borderId="0" xfId="0" applyFont="1" applyFill="1" applyAlignment="1">
      <alignment horizontal="right" vertical="center" wrapText="1" indent="16" shrinkToFit="1"/>
    </xf>
    <xf numFmtId="0" fontId="63" fillId="8" borderId="20" xfId="0" applyFont="1" applyFill="1" applyBorder="1" applyAlignment="1">
      <alignment horizontal="left"/>
    </xf>
    <xf numFmtId="0" fontId="63" fillId="8" borderId="23" xfId="0" applyFont="1" applyFill="1" applyBorder="1" applyAlignment="1">
      <alignment horizontal="left"/>
    </xf>
    <xf numFmtId="0" fontId="63" fillId="8" borderId="21" xfId="0" applyFont="1" applyFill="1" applyBorder="1" applyAlignment="1">
      <alignment horizontal="left"/>
    </xf>
    <xf numFmtId="0" fontId="84" fillId="8" borderId="20" xfId="0" applyFont="1" applyFill="1" applyBorder="1" applyAlignment="1">
      <alignment horizontal="left"/>
    </xf>
    <xf numFmtId="0" fontId="111" fillId="2" borderId="76" xfId="0" applyFont="1" applyFill="1" applyBorder="1" applyAlignment="1">
      <alignment horizontal="right"/>
    </xf>
    <xf numFmtId="0" fontId="24" fillId="2" borderId="76" xfId="0" applyFont="1" applyFill="1" applyBorder="1" applyAlignment="1">
      <alignment horizontal="left"/>
    </xf>
    <xf numFmtId="0" fontId="26" fillId="23" borderId="0" xfId="1" applyFont="1" applyFill="1" applyAlignment="1" applyProtection="1">
      <alignment horizontal="left" vertical="center"/>
    </xf>
    <xf numFmtId="0" fontId="62" fillId="2" borderId="22" xfId="0" applyFont="1" applyFill="1" applyBorder="1" applyAlignment="1">
      <alignment horizontal="left" vertical="center" wrapText="1" indent="1"/>
    </xf>
    <xf numFmtId="0" fontId="62" fillId="2" borderId="19" xfId="0" applyFont="1" applyFill="1" applyBorder="1" applyAlignment="1">
      <alignment horizontal="left" vertical="center" wrapText="1" indent="1"/>
    </xf>
    <xf numFmtId="0" fontId="41" fillId="8" borderId="22" xfId="0" quotePrefix="1" applyFont="1" applyFill="1" applyBorder="1" applyAlignment="1">
      <alignment horizontal="center" vertical="center" wrapText="1"/>
    </xf>
    <xf numFmtId="0" fontId="41" fillId="8" borderId="19" xfId="0" applyFont="1" applyFill="1" applyBorder="1" applyAlignment="1">
      <alignment horizontal="center" vertical="center" wrapText="1"/>
    </xf>
    <xf numFmtId="0" fontId="41" fillId="8" borderId="22" xfId="0" applyFont="1" applyFill="1" applyBorder="1" applyAlignment="1">
      <alignment horizontal="center" vertical="center" wrapText="1"/>
    </xf>
    <xf numFmtId="0" fontId="50" fillId="2" borderId="0" xfId="0" applyFont="1" applyFill="1" applyAlignment="1">
      <alignment horizontal="left" indent="1"/>
    </xf>
    <xf numFmtId="0" fontId="6" fillId="9" borderId="0" xfId="0" applyFont="1" applyFill="1" applyAlignment="1">
      <alignment horizontal="center"/>
    </xf>
    <xf numFmtId="0" fontId="7" fillId="2" borderId="0" xfId="0" applyFont="1" applyFill="1" applyAlignment="1">
      <alignment horizontal="left" wrapText="1" shrinkToFit="1"/>
    </xf>
    <xf numFmtId="0" fontId="17" fillId="2" borderId="0" xfId="0" applyFont="1" applyFill="1" applyAlignment="1">
      <alignment horizontal="left" indent="1"/>
    </xf>
    <xf numFmtId="17" fontId="41" fillId="11" borderId="22" xfId="0" applyNumberFormat="1" applyFont="1" applyFill="1" applyBorder="1" applyAlignment="1">
      <alignment horizontal="center" vertical="center"/>
    </xf>
    <xf numFmtId="17" fontId="41" fillId="11" borderId="19" xfId="0" applyNumberFormat="1" applyFont="1" applyFill="1" applyBorder="1" applyAlignment="1">
      <alignment horizontal="center" vertical="center"/>
    </xf>
    <xf numFmtId="0" fontId="6" fillId="9" borderId="22" xfId="0" applyFont="1" applyFill="1" applyBorder="1" applyAlignment="1">
      <alignment horizontal="center"/>
    </xf>
    <xf numFmtId="0" fontId="6" fillId="9" borderId="18" xfId="0" applyFont="1" applyFill="1" applyBorder="1" applyAlignment="1">
      <alignment horizontal="center"/>
    </xf>
    <xf numFmtId="0" fontId="6" fillId="9" borderId="19" xfId="0" applyFont="1" applyFill="1" applyBorder="1" applyAlignment="1">
      <alignment horizontal="center"/>
    </xf>
    <xf numFmtId="0" fontId="57" fillId="8" borderId="20" xfId="0" applyFont="1" applyFill="1" applyBorder="1" applyAlignment="1">
      <alignment horizontal="left" indent="1"/>
    </xf>
    <xf numFmtId="0" fontId="57" fillId="8" borderId="23" xfId="0" applyFont="1" applyFill="1" applyBorder="1" applyAlignment="1">
      <alignment horizontal="left" indent="1"/>
    </xf>
    <xf numFmtId="0" fontId="18" fillId="2" borderId="0" xfId="0" quotePrefix="1" applyFont="1" applyFill="1" applyBorder="1" applyAlignment="1">
      <alignment horizontal="left"/>
    </xf>
    <xf numFmtId="0" fontId="6" fillId="10" borderId="0" xfId="0" applyFont="1" applyFill="1" applyAlignment="1">
      <alignment horizontal="center"/>
    </xf>
    <xf numFmtId="0" fontId="6" fillId="10" borderId="22" xfId="0" applyFont="1" applyFill="1" applyBorder="1" applyAlignment="1">
      <alignment horizontal="center"/>
    </xf>
    <xf numFmtId="0" fontId="6" fillId="10" borderId="18" xfId="0" applyFont="1" applyFill="1" applyBorder="1" applyAlignment="1">
      <alignment horizontal="center"/>
    </xf>
    <xf numFmtId="0" fontId="6" fillId="10" borderId="19" xfId="0" applyFont="1" applyFill="1" applyBorder="1" applyAlignment="1">
      <alignment horizontal="center"/>
    </xf>
    <xf numFmtId="0" fontId="6" fillId="13" borderId="22" xfId="0" applyFont="1" applyFill="1" applyBorder="1" applyAlignment="1">
      <alignment horizontal="center"/>
    </xf>
    <xf numFmtId="0" fontId="6" fillId="13" borderId="18" xfId="0" applyFont="1" applyFill="1" applyBorder="1" applyAlignment="1">
      <alignment horizontal="center"/>
    </xf>
    <xf numFmtId="0" fontId="6" fillId="13" borderId="19" xfId="0" applyFont="1" applyFill="1" applyBorder="1" applyAlignment="1">
      <alignment horizontal="center"/>
    </xf>
    <xf numFmtId="0" fontId="62" fillId="2" borderId="22" xfId="0" applyFont="1" applyFill="1" applyBorder="1" applyAlignment="1">
      <alignment horizontal="left" vertical="center" wrapText="1" indent="1" shrinkToFit="1"/>
    </xf>
    <xf numFmtId="0" fontId="62" fillId="2" borderId="19" xfId="0" applyFont="1" applyFill="1" applyBorder="1" applyAlignment="1">
      <alignment horizontal="left" vertical="center" wrapText="1" indent="1" shrinkToFit="1"/>
    </xf>
    <xf numFmtId="0" fontId="63" fillId="15" borderId="20" xfId="0" applyFont="1" applyFill="1" applyBorder="1" applyAlignment="1">
      <alignment horizontal="left"/>
    </xf>
    <xf numFmtId="0" fontId="63" fillId="15" borderId="23" xfId="0" applyFont="1" applyFill="1" applyBorder="1" applyAlignment="1">
      <alignment horizontal="left"/>
    </xf>
    <xf numFmtId="0" fontId="63" fillId="15" borderId="21" xfId="0" applyFont="1" applyFill="1" applyBorder="1" applyAlignment="1">
      <alignment horizontal="left"/>
    </xf>
    <xf numFmtId="0" fontId="49" fillId="2" borderId="0" xfId="0" applyFont="1" applyFill="1" applyBorder="1" applyAlignment="1">
      <alignment horizontal="left" wrapText="1" shrinkToFit="1"/>
    </xf>
    <xf numFmtId="0" fontId="41" fillId="6" borderId="22" xfId="0" quotePrefix="1" applyFont="1" applyFill="1" applyBorder="1" applyAlignment="1">
      <alignment horizontal="center" vertical="center" wrapText="1"/>
    </xf>
    <xf numFmtId="0" fontId="41" fillId="6" borderId="19" xfId="0" applyFont="1" applyFill="1" applyBorder="1" applyAlignment="1">
      <alignment horizontal="center" vertical="center" wrapText="1"/>
    </xf>
    <xf numFmtId="0" fontId="41" fillId="6" borderId="22" xfId="0" applyFont="1" applyFill="1" applyBorder="1" applyAlignment="1">
      <alignment horizontal="center" vertical="center"/>
    </xf>
    <xf numFmtId="0" fontId="41" fillId="6" borderId="19" xfId="0" applyFont="1" applyFill="1" applyBorder="1" applyAlignment="1">
      <alignment horizontal="center" vertical="center"/>
    </xf>
    <xf numFmtId="0" fontId="44" fillId="2" borderId="0" xfId="0" applyFont="1" applyFill="1" applyAlignment="1">
      <alignment horizontal="left" indent="1"/>
    </xf>
    <xf numFmtId="0" fontId="41" fillId="11" borderId="22" xfId="0" applyFont="1" applyFill="1" applyBorder="1" applyAlignment="1">
      <alignment horizontal="center" vertical="center" wrapText="1" shrinkToFit="1"/>
    </xf>
    <xf numFmtId="0" fontId="41" fillId="11" borderId="19" xfId="0" applyFont="1" applyFill="1" applyBorder="1" applyAlignment="1">
      <alignment horizontal="center" vertical="center" wrapText="1" shrinkToFit="1"/>
    </xf>
    <xf numFmtId="0" fontId="64" fillId="2" borderId="0" xfId="0" applyFont="1" applyFill="1" applyAlignment="1">
      <alignment horizontal="left" indent="1"/>
    </xf>
    <xf numFmtId="0" fontId="6" fillId="12" borderId="0" xfId="0" applyFont="1" applyFill="1" applyAlignment="1">
      <alignment horizontal="center"/>
    </xf>
    <xf numFmtId="0" fontId="36" fillId="2" borderId="0" xfId="0" applyFont="1" applyFill="1" applyAlignment="1">
      <alignment horizontal="right" vertical="center" wrapText="1" indent="1" shrinkToFit="1"/>
    </xf>
    <xf numFmtId="0" fontId="21" fillId="2" borderId="0" xfId="0" applyFont="1" applyFill="1" applyAlignment="1">
      <alignment horizontal="left" vertical="center" wrapText="1" indent="1" shrinkToFit="1"/>
    </xf>
    <xf numFmtId="0" fontId="50" fillId="2" borderId="0" xfId="0" applyFont="1" applyFill="1" applyBorder="1" applyAlignment="1">
      <alignment horizontal="left"/>
    </xf>
    <xf numFmtId="0" fontId="34" fillId="9" borderId="0" xfId="0" applyFont="1" applyFill="1" applyBorder="1" applyAlignment="1">
      <alignment horizontal="right" vertical="center" indent="1"/>
    </xf>
    <xf numFmtId="0" fontId="34" fillId="9" borderId="31" xfId="0" applyFont="1" applyFill="1" applyBorder="1" applyAlignment="1">
      <alignment horizontal="right" vertical="center" indent="1"/>
    </xf>
    <xf numFmtId="0" fontId="34" fillId="9" borderId="32" xfId="0" applyFont="1" applyFill="1" applyBorder="1" applyAlignment="1">
      <alignment horizontal="left" vertical="center" indent="1"/>
    </xf>
    <xf numFmtId="0" fontId="34" fillId="9" borderId="33" xfId="0" applyFont="1" applyFill="1" applyBorder="1" applyAlignment="1">
      <alignment horizontal="left" vertical="center" indent="1"/>
    </xf>
    <xf numFmtId="0" fontId="64" fillId="2" borderId="0" xfId="0" applyFont="1" applyFill="1" applyBorder="1" applyAlignment="1">
      <alignment horizontal="left"/>
    </xf>
    <xf numFmtId="0" fontId="34" fillId="12" borderId="0" xfId="0" applyFont="1" applyFill="1" applyBorder="1" applyAlignment="1">
      <alignment horizontal="right" vertical="center" indent="1"/>
    </xf>
    <xf numFmtId="0" fontId="34" fillId="12" borderId="31" xfId="0" applyFont="1" applyFill="1" applyBorder="1" applyAlignment="1">
      <alignment horizontal="right" vertical="center" indent="1"/>
    </xf>
    <xf numFmtId="0" fontId="34" fillId="12" borderId="32" xfId="0" applyFont="1" applyFill="1" applyBorder="1" applyAlignment="1">
      <alignment horizontal="left" vertical="center" indent="1"/>
    </xf>
    <xf numFmtId="0" fontId="34" fillId="12" borderId="33" xfId="0" applyFont="1" applyFill="1" applyBorder="1" applyAlignment="1">
      <alignment horizontal="left" vertical="center" indent="1"/>
    </xf>
    <xf numFmtId="0" fontId="36" fillId="16" borderId="0" xfId="0" applyFont="1" applyFill="1" applyAlignment="1">
      <alignment horizontal="left" indent="1"/>
    </xf>
    <xf numFmtId="0" fontId="36" fillId="16" borderId="0" xfId="0" applyFont="1" applyFill="1" applyAlignment="1">
      <alignment horizontal="left"/>
    </xf>
    <xf numFmtId="0" fontId="80" fillId="16" borderId="0" xfId="0" applyFont="1" applyFill="1" applyAlignment="1">
      <alignment horizontal="left"/>
    </xf>
    <xf numFmtId="0" fontId="80" fillId="16" borderId="0" xfId="0" applyFont="1" applyFill="1" applyAlignment="1">
      <alignment horizontal="left" indent="1"/>
    </xf>
    <xf numFmtId="0" fontId="80" fillId="16" borderId="0" xfId="0" applyFont="1" applyFill="1" applyAlignment="1">
      <alignment horizontal="left" indent="4"/>
    </xf>
    <xf numFmtId="0" fontId="78" fillId="2" borderId="0" xfId="0" applyFont="1" applyFill="1" applyAlignment="1">
      <alignment horizontal="left"/>
    </xf>
    <xf numFmtId="0" fontId="81" fillId="16" borderId="0" xfId="1" applyFont="1" applyFill="1" applyAlignment="1" applyProtection="1">
      <alignment horizontal="left" indent="1"/>
    </xf>
    <xf numFmtId="0" fontId="6" fillId="17" borderId="0" xfId="0" applyFont="1" applyFill="1" applyAlignment="1">
      <alignment horizontal="center"/>
    </xf>
    <xf numFmtId="0" fontId="67" fillId="2" borderId="0" xfId="1" applyFont="1" applyFill="1" applyAlignment="1" applyProtection="1">
      <alignment horizontal="right"/>
    </xf>
    <xf numFmtId="0" fontId="7" fillId="2" borderId="0" xfId="0" applyFont="1" applyFill="1" applyAlignment="1">
      <alignment horizontal="left" indent="1"/>
    </xf>
    <xf numFmtId="0" fontId="7" fillId="2" borderId="0" xfId="0" applyFont="1" applyFill="1" applyAlignment="1">
      <alignment horizontal="left" wrapText="1" indent="1"/>
    </xf>
    <xf numFmtId="0" fontId="34" fillId="10" borderId="0" xfId="0" applyFont="1" applyFill="1" applyBorder="1" applyAlignment="1">
      <alignment horizontal="right" vertical="center" indent="1"/>
    </xf>
    <xf numFmtId="0" fontId="34" fillId="10" borderId="31" xfId="0" applyFont="1" applyFill="1" applyBorder="1" applyAlignment="1">
      <alignment horizontal="right" vertical="center" indent="1"/>
    </xf>
    <xf numFmtId="0" fontId="34" fillId="10" borderId="32" xfId="0" applyFont="1" applyFill="1" applyBorder="1" applyAlignment="1">
      <alignment horizontal="left" vertical="center" indent="1"/>
    </xf>
    <xf numFmtId="0" fontId="34" fillId="10" borderId="33" xfId="0" applyFont="1" applyFill="1" applyBorder="1" applyAlignment="1">
      <alignment horizontal="left" vertical="center" indent="1"/>
    </xf>
    <xf numFmtId="0" fontId="82" fillId="2" borderId="0" xfId="0" applyFont="1" applyFill="1" applyBorder="1" applyAlignment="1">
      <alignment horizontal="left"/>
    </xf>
    <xf numFmtId="0" fontId="34" fillId="13" borderId="0" xfId="0" applyFont="1" applyFill="1" applyBorder="1" applyAlignment="1">
      <alignment horizontal="right" vertical="center" indent="1"/>
    </xf>
    <xf numFmtId="0" fontId="34" fillId="13" borderId="31" xfId="0" applyFont="1" applyFill="1" applyBorder="1" applyAlignment="1">
      <alignment horizontal="right" vertical="center" indent="1"/>
    </xf>
    <xf numFmtId="0" fontId="67" fillId="2" borderId="0" xfId="1" applyFont="1" applyFill="1" applyAlignment="1" applyProtection="1">
      <alignment horizontal="left"/>
    </xf>
    <xf numFmtId="0" fontId="6" fillId="2" borderId="0" xfId="0" applyFont="1" applyFill="1" applyAlignment="1">
      <alignment horizontal="left" indent="1"/>
    </xf>
    <xf numFmtId="0" fontId="34" fillId="13" borderId="32" xfId="0" applyFont="1" applyFill="1" applyBorder="1" applyAlignment="1">
      <alignment horizontal="left" vertical="center" indent="1"/>
    </xf>
    <xf numFmtId="0" fontId="34" fillId="13" borderId="33" xfId="0" applyFont="1" applyFill="1" applyBorder="1" applyAlignment="1">
      <alignment horizontal="left" vertical="center" indent="1"/>
    </xf>
    <xf numFmtId="0" fontId="44" fillId="2" borderId="0" xfId="0" applyFont="1" applyFill="1" applyBorder="1" applyAlignment="1">
      <alignment horizontal="left"/>
    </xf>
    <xf numFmtId="0" fontId="36" fillId="16" borderId="0" xfId="0" applyFont="1" applyFill="1" applyAlignment="1">
      <alignment horizontal="left" indent="4"/>
    </xf>
    <xf numFmtId="0" fontId="21" fillId="16" borderId="0" xfId="0" applyFont="1" applyFill="1" applyAlignment="1">
      <alignment horizontal="left" indent="4"/>
    </xf>
    <xf numFmtId="0" fontId="78" fillId="2" borderId="0" xfId="0" applyFont="1" applyFill="1" applyAlignment="1">
      <alignment horizontal="right" vertical="center" wrapText="1" indent="1" shrinkToFit="1"/>
    </xf>
    <xf numFmtId="0" fontId="7" fillId="0" borderId="0" xfId="0" applyFont="1" applyBorder="1" applyAlignment="1">
      <alignment horizontal="center"/>
    </xf>
    <xf numFmtId="0" fontId="7" fillId="0" borderId="0" xfId="0" applyFont="1" applyAlignment="1">
      <alignment horizontal="center"/>
    </xf>
    <xf numFmtId="0" fontId="7" fillId="0" borderId="0" xfId="0" applyFont="1" applyAlignment="1">
      <alignment horizontal="center" wrapText="1" shrinkToFit="1"/>
    </xf>
    <xf numFmtId="0" fontId="0" fillId="0" borderId="0" xfId="0" applyAlignment="1"/>
    <xf numFmtId="0" fontId="6" fillId="12" borderId="22" xfId="0" applyFont="1" applyFill="1" applyBorder="1" applyAlignment="1">
      <alignment horizontal="center"/>
    </xf>
    <xf numFmtId="0" fontId="6" fillId="12" borderId="18" xfId="0" applyFont="1" applyFill="1" applyBorder="1" applyAlignment="1">
      <alignment horizontal="center"/>
    </xf>
    <xf numFmtId="0" fontId="6" fillId="12" borderId="19" xfId="0" applyFont="1" applyFill="1" applyBorder="1" applyAlignment="1">
      <alignment horizontal="center"/>
    </xf>
    <xf numFmtId="0" fontId="6" fillId="2" borderId="77" xfId="0" applyFont="1" applyFill="1" applyBorder="1" applyAlignment="1">
      <alignment horizontal="center"/>
    </xf>
  </cellXfs>
  <cellStyles count="2">
    <cellStyle name="Hiperligação" xfId="1" builtinId="8"/>
    <cellStyle name="Normal" xfId="0" builtinId="0"/>
  </cellStyles>
  <dxfs count="8">
    <dxf>
      <font>
        <color theme="0"/>
      </font>
      <fill>
        <patternFill>
          <bgColor rgb="FF008080"/>
        </patternFill>
      </fill>
    </dxf>
    <dxf>
      <font>
        <color theme="1" tint="0.14996795556505021"/>
      </font>
      <fill>
        <patternFill>
          <bgColor rgb="FFCCFFCC"/>
        </patternFill>
      </fill>
    </dxf>
    <dxf>
      <font>
        <color theme="1" tint="0.14996795556505021"/>
      </font>
      <fill>
        <patternFill>
          <bgColor rgb="FFFFC000"/>
        </patternFill>
      </fill>
    </dxf>
    <dxf>
      <font>
        <color theme="0"/>
      </font>
      <fill>
        <patternFill>
          <bgColor rgb="FFFF0000"/>
        </patternFill>
      </fill>
    </dxf>
    <dxf>
      <font>
        <color theme="0"/>
      </font>
      <fill>
        <patternFill>
          <bgColor rgb="FF008080"/>
        </patternFill>
      </fill>
    </dxf>
    <dxf>
      <font>
        <color theme="1" tint="0.14996795556505021"/>
      </font>
      <fill>
        <patternFill>
          <bgColor rgb="FFCCFFCC"/>
        </patternFill>
      </fill>
    </dxf>
    <dxf>
      <font>
        <color theme="1" tint="0.14996795556505021"/>
      </font>
      <fill>
        <patternFill>
          <bgColor rgb="FFFFC000"/>
        </patternFill>
      </fill>
    </dxf>
    <dxf>
      <font>
        <color theme="0"/>
      </font>
      <fill>
        <patternFill>
          <bgColor rgb="FFFF0000"/>
        </patternFill>
      </fill>
    </dxf>
  </dxfs>
  <tableStyles count="0" defaultTableStyle="TableStyleMedium9" defaultPivotStyle="PivotStyleLight16"/>
  <colors>
    <mruColors>
      <color rgb="FFB4BD63"/>
      <color rgb="FF008080"/>
      <color rgb="FFDEE0B6"/>
      <color rgb="FFCCFFCC"/>
      <color rgb="FFFF6600"/>
      <color rgb="FF17375E"/>
      <color rgb="FFE46C0A"/>
      <color rgb="FFFAC090"/>
      <color rgb="FFFFCC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2140462962962972"/>
          <c:y val="3.5679629629630012E-2"/>
          <c:w val="0.85272500000003815"/>
          <c:h val="0.73476481481484879"/>
        </c:manualLayout>
      </c:layout>
      <c:lineChart>
        <c:grouping val="standard"/>
        <c:ser>
          <c:idx val="0"/>
          <c:order val="0"/>
          <c:tx>
            <c:strRef>
              <c:f>AUX!$A$69</c:f>
              <c:strCache>
                <c:ptCount val="1"/>
                <c:pt idx="0">
                  <c:v>Continente</c:v>
                </c:pt>
              </c:strCache>
            </c:strRef>
          </c:tx>
          <c:spPr>
            <a:ln w="19050">
              <a:solidFill>
                <a:srgbClr val="FF0000"/>
              </a:solidFill>
            </a:ln>
          </c:spPr>
          <c:marker>
            <c:symbol val="none"/>
          </c:marker>
          <c:cat>
            <c:numRef>
              <c:f>AUX!$B$68:$R$68</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AUX!$B$69:$R$69</c:f>
              <c:numCache>
                <c:formatCode>0.0</c:formatCode>
                <c:ptCount val="17"/>
                <c:pt idx="0">
                  <c:v>10.821126059730386</c:v>
                </c:pt>
                <c:pt idx="1">
                  <c:v>11.042744601820905</c:v>
                </c:pt>
                <c:pt idx="2">
                  <c:v>11.041624559345594</c:v>
                </c:pt>
                <c:pt idx="3">
                  <c:v>11.236130496118188</c:v>
                </c:pt>
                <c:pt idx="4">
                  <c:v>11.556765735318571</c:v>
                </c:pt>
                <c:pt idx="5">
                  <c:v>10.783038429112857</c:v>
                </c:pt>
                <c:pt idx="6">
                  <c:v>10.898670928677733</c:v>
                </c:pt>
                <c:pt idx="7">
                  <c:v>10.663047809664718</c:v>
                </c:pt>
                <c:pt idx="8">
                  <c:v>10.346899410558548</c:v>
                </c:pt>
                <c:pt idx="9">
                  <c:v>10.340910585069862</c:v>
                </c:pt>
                <c:pt idx="10">
                  <c:v>9.9543378083745289</c:v>
                </c:pt>
                <c:pt idx="11">
                  <c:v>9.6590035416180218</c:v>
                </c:pt>
                <c:pt idx="12">
                  <c:v>9.8590047955866638</c:v>
                </c:pt>
                <c:pt idx="13">
                  <c:v>9.3803064680297972</c:v>
                </c:pt>
                <c:pt idx="14">
                  <c:v>9.5569792875117994</c:v>
                </c:pt>
                <c:pt idx="15">
                  <c:v>9.1294888383260311</c:v>
                </c:pt>
                <c:pt idx="16">
                  <c:v>8.527352357854511</c:v>
                </c:pt>
              </c:numCache>
            </c:numRef>
          </c:val>
        </c:ser>
        <c:ser>
          <c:idx val="1"/>
          <c:order val="1"/>
          <c:tx>
            <c:strRef>
              <c:f>AUX!$A$70</c:f>
              <c:strCache>
                <c:ptCount val="1"/>
                <c:pt idx="0">
                  <c:v>0</c:v>
                </c:pt>
              </c:strCache>
            </c:strRef>
          </c:tx>
          <c:spPr>
            <a:ln w="19050">
              <a:solidFill>
                <a:schemeClr val="tx2">
                  <a:lumMod val="75000"/>
                </a:schemeClr>
              </a:solidFill>
            </a:ln>
          </c:spPr>
          <c:marker>
            <c:symbol val="none"/>
          </c:marker>
          <c:cat>
            <c:numRef>
              <c:f>AUX!$B$68:$R$68</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AUX!$B$70:$R$70</c:f>
              <c:numCache>
                <c:formatCode>0.0</c:formatCode>
                <c:ptCount val="17"/>
              </c:numCache>
            </c:numRef>
          </c:val>
        </c:ser>
        <c:ser>
          <c:idx val="2"/>
          <c:order val="2"/>
          <c:tx>
            <c:strRef>
              <c:f>AUX!$A$71</c:f>
              <c:strCache>
                <c:ptCount val="1"/>
                <c:pt idx="0">
                  <c:v>0</c:v>
                </c:pt>
              </c:strCache>
            </c:strRef>
          </c:tx>
          <c:spPr>
            <a:ln w="38100">
              <a:solidFill>
                <a:srgbClr val="008080"/>
              </a:solidFill>
            </a:ln>
          </c:spPr>
          <c:marker>
            <c:symbol val="none"/>
          </c:marker>
          <c:cat>
            <c:numRef>
              <c:f>AUX!$B$68:$R$68</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AUX!$B$71:$R$71</c:f>
              <c:numCache>
                <c:formatCode>0.0</c:formatCode>
                <c:ptCount val="17"/>
              </c:numCache>
            </c:numRef>
          </c:val>
        </c:ser>
        <c:marker val="1"/>
        <c:axId val="279298432"/>
        <c:axId val="279299968"/>
      </c:lineChart>
      <c:catAx>
        <c:axId val="279298432"/>
        <c:scaling>
          <c:orientation val="minMax"/>
        </c:scaling>
        <c:axPos val="b"/>
        <c:numFmt formatCode="General" sourceLinked="1"/>
        <c:tickLblPos val="nextTo"/>
        <c:txPr>
          <a:bodyPr/>
          <a:lstStyle/>
          <a:p>
            <a:pPr>
              <a:defRPr lang="en-US" sz="900">
                <a:latin typeface="Arial" pitchFamily="34" charset="0"/>
                <a:cs typeface="Arial" pitchFamily="34" charset="0"/>
              </a:defRPr>
            </a:pPr>
            <a:endParaRPr lang="pt-PT"/>
          </a:p>
        </c:txPr>
        <c:crossAx val="279299968"/>
        <c:crosses val="autoZero"/>
        <c:auto val="1"/>
        <c:lblAlgn val="ctr"/>
        <c:lblOffset val="100"/>
        <c:tickLblSkip val="2"/>
        <c:tickMarkSkip val="1"/>
      </c:catAx>
      <c:valAx>
        <c:axId val="279299968"/>
        <c:scaling>
          <c:orientation val="minMax"/>
        </c:scaling>
        <c:axPos val="l"/>
        <c:majorGridlines>
          <c:spPr>
            <a:ln w="3175">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Taxa bruta de natalidade (/1000 hab)</a:t>
                </a:r>
              </a:p>
            </c:rich>
          </c:tx>
          <c:layout>
            <c:manualLayout>
              <c:xMode val="edge"/>
              <c:yMode val="edge"/>
              <c:x val="5.2175536881419234E-3"/>
              <c:y val="1.1797839506172863E-2"/>
            </c:manualLayout>
          </c:layout>
        </c:title>
        <c:numFmt formatCode="0" sourceLinked="0"/>
        <c:tickLblPos val="nextTo"/>
        <c:spPr>
          <a:ln>
            <a:solidFill>
              <a:schemeClr val="bg1">
                <a:lumMod val="85000"/>
              </a:schemeClr>
            </a:solidFill>
          </a:ln>
        </c:spPr>
        <c:txPr>
          <a:bodyPr/>
          <a:lstStyle/>
          <a:p>
            <a:pPr>
              <a:defRPr lang="en-US" sz="900">
                <a:latin typeface="Arial" pitchFamily="34" charset="0"/>
                <a:cs typeface="Arial" pitchFamily="34" charset="0"/>
              </a:defRPr>
            </a:pPr>
            <a:endParaRPr lang="pt-PT"/>
          </a:p>
        </c:txPr>
        <c:crossAx val="279298432"/>
        <c:crosses val="autoZero"/>
        <c:crossBetween val="between"/>
      </c:valAx>
    </c:plotArea>
    <c:legend>
      <c:legendPos val="b"/>
      <c:layout>
        <c:manualLayout>
          <c:xMode val="edge"/>
          <c:yMode val="edge"/>
          <c:x val="1.6211251167133525E-2"/>
          <c:y val="0.89670023148150713"/>
          <c:w val="0.96757749766573364"/>
          <c:h val="8.3701003086421227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w="3175">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5736955555555571"/>
          <c:y val="4.7189424364123184E-2"/>
          <c:w val="0.81158599999999959"/>
          <c:h val="0.64171285140562262"/>
        </c:manualLayout>
      </c:layout>
      <c:lineChart>
        <c:grouping val="standard"/>
        <c:ser>
          <c:idx val="0"/>
          <c:order val="0"/>
          <c:tx>
            <c:strRef>
              <c:f>AUX!$A$107</c:f>
              <c:strCache>
                <c:ptCount val="1"/>
                <c:pt idx="0">
                  <c:v>Homens</c:v>
                </c:pt>
              </c:strCache>
            </c:strRef>
          </c:tx>
          <c:marker>
            <c:symbol val="none"/>
          </c:marker>
          <c:cat>
            <c:numRef>
              <c:f>AUX!$B$103:$DQ$103</c:f>
              <c:numCache>
                <c:formatCode>mmm/yy</c:formatCode>
                <c:ptCount val="120"/>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numCache>
            </c:numRef>
          </c:cat>
          <c:val>
            <c:numRef>
              <c:f>AUX!$B$107:$DQ$107</c:f>
              <c:numCache>
                <c:formatCode>General</c:formatCode>
                <c:ptCount val="120"/>
              </c:numCache>
            </c:numRef>
          </c:val>
        </c:ser>
        <c:ser>
          <c:idx val="1"/>
          <c:order val="1"/>
          <c:tx>
            <c:strRef>
              <c:f>AUX!$A$108</c:f>
              <c:strCache>
                <c:ptCount val="1"/>
                <c:pt idx="0">
                  <c:v>Mulheres</c:v>
                </c:pt>
              </c:strCache>
            </c:strRef>
          </c:tx>
          <c:spPr>
            <a:ln>
              <a:solidFill>
                <a:schemeClr val="accent2">
                  <a:lumMod val="60000"/>
                  <a:lumOff val="40000"/>
                </a:schemeClr>
              </a:solidFill>
            </a:ln>
          </c:spPr>
          <c:marker>
            <c:symbol val="none"/>
          </c:marker>
          <c:cat>
            <c:numRef>
              <c:f>AUX!$B$103:$DQ$103</c:f>
              <c:numCache>
                <c:formatCode>mmm/yy</c:formatCode>
                <c:ptCount val="120"/>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numCache>
            </c:numRef>
          </c:cat>
          <c:val>
            <c:numRef>
              <c:f>AUX!$B$108:$DQ$108</c:f>
              <c:numCache>
                <c:formatCode>General</c:formatCode>
                <c:ptCount val="120"/>
              </c:numCache>
            </c:numRef>
          </c:val>
        </c:ser>
        <c:marker val="1"/>
        <c:axId val="87102592"/>
        <c:axId val="87104128"/>
      </c:lineChart>
      <c:dateAx>
        <c:axId val="87102592"/>
        <c:scaling>
          <c:orientation val="minMax"/>
        </c:scaling>
        <c:axPos val="b"/>
        <c:numFmt formatCode="mmm/yy" sourceLinked="1"/>
        <c:tickLblPos val="nextTo"/>
        <c:txPr>
          <a:bodyPr/>
          <a:lstStyle/>
          <a:p>
            <a:pPr>
              <a:defRPr lang="en-US" sz="900">
                <a:latin typeface="Arial" pitchFamily="34" charset="0"/>
                <a:cs typeface="Arial" pitchFamily="34" charset="0"/>
              </a:defRPr>
            </a:pPr>
            <a:endParaRPr lang="pt-PT"/>
          </a:p>
        </c:txPr>
        <c:crossAx val="87104128"/>
        <c:crosses val="autoZero"/>
        <c:auto val="1"/>
        <c:lblOffset val="100"/>
        <c:baseTimeUnit val="months"/>
        <c:majorUnit val="6"/>
        <c:majorTimeUnit val="months"/>
      </c:dateAx>
      <c:valAx>
        <c:axId val="87104128"/>
        <c:scaling>
          <c:orientation val="minMax"/>
        </c:scaling>
        <c:axPos val="l"/>
        <c:majorGridlines>
          <c:spPr>
            <a:ln>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Desemprego registado (IEFP)</a:t>
                </a:r>
              </a:p>
            </c:rich>
          </c:tx>
          <c:layout>
            <c:manualLayout>
              <c:xMode val="edge"/>
              <c:yMode val="edge"/>
              <c:x val="8.4666666666675765E-3"/>
              <c:y val="3.2928045515395042E-2"/>
            </c:manualLayout>
          </c:layout>
        </c:title>
        <c:numFmt formatCode="General" sourceLinked="1"/>
        <c:tickLblPos val="nextTo"/>
        <c:txPr>
          <a:bodyPr/>
          <a:lstStyle/>
          <a:p>
            <a:pPr>
              <a:defRPr lang="en-US" sz="900">
                <a:latin typeface="Arial" pitchFamily="34" charset="0"/>
                <a:cs typeface="Arial" pitchFamily="34" charset="0"/>
              </a:defRPr>
            </a:pPr>
            <a:endParaRPr lang="pt-PT"/>
          </a:p>
        </c:txPr>
        <c:crossAx val="87102592"/>
        <c:crosses val="autoZero"/>
        <c:crossBetween val="between"/>
      </c:valAx>
    </c:plotArea>
    <c:legend>
      <c:legendPos val="b"/>
      <c:spPr>
        <a:ln>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3825847457628251"/>
          <c:y val="4.6079084967320293E-2"/>
          <c:w val="0.82885546139361665"/>
          <c:h val="0.6518447712418648"/>
        </c:manualLayout>
      </c:layout>
      <c:lineChart>
        <c:grouping val="standard"/>
        <c:ser>
          <c:idx val="2"/>
          <c:order val="0"/>
          <c:tx>
            <c:strRef>
              <c:f>AUX!$A$112</c:f>
              <c:strCache>
                <c:ptCount val="1"/>
                <c:pt idx="0">
                  <c:v>Continente</c:v>
                </c:pt>
              </c:strCache>
            </c:strRef>
          </c:tx>
          <c:spPr>
            <a:ln w="19050">
              <a:solidFill>
                <a:srgbClr val="FF0000"/>
              </a:solidFill>
            </a:ln>
          </c:spPr>
          <c:marker>
            <c:symbol val="none"/>
          </c:marker>
          <c:cat>
            <c:numRef>
              <c:f>AUX!$B$111:$DE$111</c:f>
              <c:numCache>
                <c:formatCode>mmm/yy</c:formatCode>
                <c:ptCount val="108"/>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numCache>
            </c:numRef>
          </c:cat>
          <c:val>
            <c:numRef>
              <c:f>AUX!$B$112:$DE$112</c:f>
              <c:numCache>
                <c:formatCode>0.0</c:formatCode>
                <c:ptCount val="108"/>
                <c:pt idx="0">
                  <c:v>3.7944792769318463</c:v>
                </c:pt>
                <c:pt idx="1">
                  <c:v>3.8740761448814496</c:v>
                </c:pt>
                <c:pt idx="2">
                  <c:v>2.5377925260806387</c:v>
                </c:pt>
                <c:pt idx="3">
                  <c:v>3.3059422930634916</c:v>
                </c:pt>
                <c:pt idx="4">
                  <c:v>3.6997725892084885</c:v>
                </c:pt>
                <c:pt idx="5">
                  <c:v>4.0685298595372101</c:v>
                </c:pt>
                <c:pt idx="6">
                  <c:v>3.0775711868636568</c:v>
                </c:pt>
                <c:pt idx="7">
                  <c:v>3.24685941630106</c:v>
                </c:pt>
                <c:pt idx="8">
                  <c:v>3.2902696494010826</c:v>
                </c:pt>
                <c:pt idx="9">
                  <c:v>3.5708899026617731</c:v>
                </c:pt>
                <c:pt idx="10">
                  <c:v>3.1290856415624582</c:v>
                </c:pt>
                <c:pt idx="11">
                  <c:v>2.2388744255936261</c:v>
                </c:pt>
                <c:pt idx="12">
                  <c:v>1.6777662576674111</c:v>
                </c:pt>
                <c:pt idx="13">
                  <c:v>0.13183291912145029</c:v>
                </c:pt>
                <c:pt idx="14">
                  <c:v>-0.90974277187052499</c:v>
                </c:pt>
                <c:pt idx="15">
                  <c:v>-1.9710338509223702</c:v>
                </c:pt>
                <c:pt idx="16">
                  <c:v>-2.8844017996750826</c:v>
                </c:pt>
                <c:pt idx="17">
                  <c:v>-4.762944967752043</c:v>
                </c:pt>
                <c:pt idx="18">
                  <c:v>-5.3030218895416636</c:v>
                </c:pt>
                <c:pt idx="19">
                  <c:v>-6.2760908103162345</c:v>
                </c:pt>
                <c:pt idx="20">
                  <c:v>-7.3855043485259912</c:v>
                </c:pt>
                <c:pt idx="21">
                  <c:v>-6.9660393446359645</c:v>
                </c:pt>
                <c:pt idx="22">
                  <c:v>-6.2237028863122337</c:v>
                </c:pt>
                <c:pt idx="23">
                  <c:v>-5.9792999583435691</c:v>
                </c:pt>
                <c:pt idx="24">
                  <c:v>-7.3322601094354738</c:v>
                </c:pt>
                <c:pt idx="25">
                  <c:v>-8.0121118201537502</c:v>
                </c:pt>
                <c:pt idx="26">
                  <c:v>-8.4259397613507794</c:v>
                </c:pt>
                <c:pt idx="27">
                  <c:v>-10.821298022962804</c:v>
                </c:pt>
                <c:pt idx="28">
                  <c:v>-13.590791772153318</c:v>
                </c:pt>
                <c:pt idx="29">
                  <c:v>-12.730844884748423</c:v>
                </c:pt>
                <c:pt idx="30">
                  <c:v>-11.383872027020688</c:v>
                </c:pt>
                <c:pt idx="31">
                  <c:v>-10.739755988238247</c:v>
                </c:pt>
                <c:pt idx="32">
                  <c:v>-11.738929572826279</c:v>
                </c:pt>
                <c:pt idx="33">
                  <c:v>-12.318769892492632</c:v>
                </c:pt>
                <c:pt idx="34">
                  <c:v>-13.64134486692357</c:v>
                </c:pt>
                <c:pt idx="35">
                  <c:v>-14.243453564328314</c:v>
                </c:pt>
                <c:pt idx="36">
                  <c:v>-13.054524179211954</c:v>
                </c:pt>
                <c:pt idx="37">
                  <c:v>-11.994576246424684</c:v>
                </c:pt>
                <c:pt idx="38">
                  <c:v>-11.822460296925154</c:v>
                </c:pt>
                <c:pt idx="39">
                  <c:v>-8.469372014270288</c:v>
                </c:pt>
                <c:pt idx="40">
                  <c:v>-3.6881619137335502</c:v>
                </c:pt>
                <c:pt idx="41">
                  <c:v>-1.5459073145866962</c:v>
                </c:pt>
                <c:pt idx="42">
                  <c:v>-1.9189742883913965</c:v>
                </c:pt>
                <c:pt idx="43">
                  <c:v>-0.42380679457990023</c:v>
                </c:pt>
                <c:pt idx="44">
                  <c:v>-0.51409885001477007</c:v>
                </c:pt>
                <c:pt idx="45">
                  <c:v>0.55704324652979909</c:v>
                </c:pt>
                <c:pt idx="46">
                  <c:v>2.9550501609623412</c:v>
                </c:pt>
                <c:pt idx="47">
                  <c:v>6.6525185726851701</c:v>
                </c:pt>
                <c:pt idx="48">
                  <c:v>12.105275417532617</c:v>
                </c:pt>
                <c:pt idx="49">
                  <c:v>17.652154966695026</c:v>
                </c:pt>
                <c:pt idx="50">
                  <c:v>23.601627370274322</c:v>
                </c:pt>
                <c:pt idx="51">
                  <c:v>27.058521395781838</c:v>
                </c:pt>
                <c:pt idx="52">
                  <c:v>27.275421753622055</c:v>
                </c:pt>
                <c:pt idx="53">
                  <c:v>27.510927628226046</c:v>
                </c:pt>
                <c:pt idx="54">
                  <c:v>29.514027569382222</c:v>
                </c:pt>
                <c:pt idx="55">
                  <c:v>28.034851485148515</c:v>
                </c:pt>
                <c:pt idx="56">
                  <c:v>28.404100704808638</c:v>
                </c:pt>
                <c:pt idx="57">
                  <c:v>28.463327655676711</c:v>
                </c:pt>
                <c:pt idx="58">
                  <c:v>27.363194132236835</c:v>
                </c:pt>
                <c:pt idx="59">
                  <c:v>25.395918468742622</c:v>
                </c:pt>
                <c:pt idx="60">
                  <c:v>24.467561970592104</c:v>
                </c:pt>
                <c:pt idx="61">
                  <c:v>18.993478577192217</c:v>
                </c:pt>
                <c:pt idx="62">
                  <c:v>17.677982885582356</c:v>
                </c:pt>
                <c:pt idx="63">
                  <c:v>15.731008927067542</c:v>
                </c:pt>
                <c:pt idx="64">
                  <c:v>14.311451532318845</c:v>
                </c:pt>
                <c:pt idx="65">
                  <c:v>12.365899512131163</c:v>
                </c:pt>
                <c:pt idx="66">
                  <c:v>9.9780797712961693</c:v>
                </c:pt>
                <c:pt idx="67">
                  <c:v>9.2045895094569961</c:v>
                </c:pt>
                <c:pt idx="68">
                  <c:v>8.5201029641755266</c:v>
                </c:pt>
                <c:pt idx="69">
                  <c:v>6.0194318652948331</c:v>
                </c:pt>
                <c:pt idx="70">
                  <c:v>4.1426712991607575</c:v>
                </c:pt>
                <c:pt idx="71">
                  <c:v>2.9940072309444803</c:v>
                </c:pt>
                <c:pt idx="72">
                  <c:v>-0.95524270584089188</c:v>
                </c:pt>
                <c:pt idx="73">
                  <c:v>-1.5687386170569522</c:v>
                </c:pt>
                <c:pt idx="74">
                  <c:v>-4.20618159479766</c:v>
                </c:pt>
                <c:pt idx="75">
                  <c:v>-5.9258545033801724</c:v>
                </c:pt>
                <c:pt idx="76">
                  <c:v>-6.2882785110666219</c:v>
                </c:pt>
                <c:pt idx="77">
                  <c:v>-6.9675617486091985</c:v>
                </c:pt>
                <c:pt idx="78">
                  <c:v>-5.2861925431358685</c:v>
                </c:pt>
                <c:pt idx="79">
                  <c:v>-3.8941174693334948</c:v>
                </c:pt>
                <c:pt idx="80">
                  <c:v>-1.0803940260565617</c:v>
                </c:pt>
                <c:pt idx="81">
                  <c:v>2.2322263510769131</c:v>
                </c:pt>
                <c:pt idx="82">
                  <c:v>5.8333365070055638</c:v>
                </c:pt>
                <c:pt idx="83">
                  <c:v>10.866763610623826</c:v>
                </c:pt>
                <c:pt idx="84">
                  <c:v>13.682909472264878</c:v>
                </c:pt>
                <c:pt idx="85">
                  <c:v>15.989353732405236</c:v>
                </c:pt>
                <c:pt idx="86">
                  <c:v>19.321305858224033</c:v>
                </c:pt>
                <c:pt idx="87">
                  <c:v>20.555285890818656</c:v>
                </c:pt>
                <c:pt idx="88">
                  <c:v>20.408969907293042</c:v>
                </c:pt>
                <c:pt idx="89">
                  <c:v>24.266577117125134</c:v>
                </c:pt>
                <c:pt idx="90">
                  <c:v>24.622330508813622</c:v>
                </c:pt>
                <c:pt idx="91">
                  <c:v>25.989397696415729</c:v>
                </c:pt>
                <c:pt idx="92">
                  <c:v>22.980858260425919</c:v>
                </c:pt>
                <c:pt idx="93">
                  <c:v>22.105947855782006</c:v>
                </c:pt>
                <c:pt idx="94">
                  <c:v>19.278753769422874</c:v>
                </c:pt>
                <c:pt idx="95">
                  <c:v>17.190479247306044</c:v>
                </c:pt>
                <c:pt idx="96">
                  <c:v>15.8120333946139</c:v>
                </c:pt>
                <c:pt idx="97">
                  <c:v>13.915178542449677</c:v>
                </c:pt>
                <c:pt idx="98">
                  <c:v>10.810643210135664</c:v>
                </c:pt>
                <c:pt idx="99">
                  <c:v>10.865181786828575</c:v>
                </c:pt>
                <c:pt idx="100">
                  <c:v>9.3836424722579199</c:v>
                </c:pt>
                <c:pt idx="101">
                  <c:v>6.4603879000198612</c:v>
                </c:pt>
                <c:pt idx="102">
                  <c:v>4.91238320569762</c:v>
                </c:pt>
                <c:pt idx="103">
                  <c:v>3.081167403285622</c:v>
                </c:pt>
                <c:pt idx="104">
                  <c:v>1.8415031951655356</c:v>
                </c:pt>
                <c:pt idx="105">
                  <c:v>-0.25106692091164984</c:v>
                </c:pt>
                <c:pt idx="106">
                  <c:v>-1.0323756254365044</c:v>
                </c:pt>
                <c:pt idx="107">
                  <c:v>-3.0937160419621414</c:v>
                </c:pt>
              </c:numCache>
            </c:numRef>
          </c:val>
        </c:ser>
        <c:ser>
          <c:idx val="0"/>
          <c:order val="1"/>
          <c:tx>
            <c:strRef>
              <c:f>AUX!$A$113</c:f>
              <c:strCache>
                <c:ptCount val="1"/>
                <c:pt idx="0">
                  <c:v>0</c:v>
                </c:pt>
              </c:strCache>
            </c:strRef>
          </c:tx>
          <c:spPr>
            <a:ln w="19050">
              <a:solidFill>
                <a:srgbClr val="17375E"/>
              </a:solidFill>
            </a:ln>
          </c:spPr>
          <c:marker>
            <c:symbol val="none"/>
          </c:marker>
          <c:cat>
            <c:numRef>
              <c:f>AUX!$B$111:$DE$111</c:f>
              <c:numCache>
                <c:formatCode>mmm/yy</c:formatCode>
                <c:ptCount val="108"/>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numCache>
            </c:numRef>
          </c:cat>
          <c:val>
            <c:numRef>
              <c:f>AUX!$B$113:$DE$113</c:f>
              <c:numCache>
                <c:formatCode>0.0</c:formatCode>
                <c:ptCount val="108"/>
              </c:numCache>
            </c:numRef>
          </c:val>
        </c:ser>
        <c:ser>
          <c:idx val="1"/>
          <c:order val="2"/>
          <c:tx>
            <c:strRef>
              <c:f>AUX!$A$114</c:f>
              <c:strCache>
                <c:ptCount val="1"/>
                <c:pt idx="0">
                  <c:v>0</c:v>
                </c:pt>
              </c:strCache>
            </c:strRef>
          </c:tx>
          <c:spPr>
            <a:ln w="38100">
              <a:solidFill>
                <a:srgbClr val="008080"/>
              </a:solidFill>
            </a:ln>
          </c:spPr>
          <c:marker>
            <c:symbol val="none"/>
          </c:marker>
          <c:cat>
            <c:numRef>
              <c:f>AUX!$B$111:$DE$111</c:f>
              <c:numCache>
                <c:formatCode>mmm/yy</c:formatCode>
                <c:ptCount val="108"/>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numCache>
            </c:numRef>
          </c:cat>
          <c:val>
            <c:numRef>
              <c:f>AUX!$B$114:$DE$114</c:f>
              <c:numCache>
                <c:formatCode>0.0</c:formatCode>
                <c:ptCount val="108"/>
              </c:numCache>
            </c:numRef>
          </c:val>
        </c:ser>
        <c:marker val="1"/>
        <c:axId val="266288512"/>
        <c:axId val="266294400"/>
      </c:lineChart>
      <c:dateAx>
        <c:axId val="266288512"/>
        <c:scaling>
          <c:orientation val="minMax"/>
        </c:scaling>
        <c:axPos val="b"/>
        <c:numFmt formatCode="mmm/yy" sourceLinked="1"/>
        <c:tickLblPos val="low"/>
        <c:txPr>
          <a:bodyPr rot="-5400000" vert="horz"/>
          <a:lstStyle/>
          <a:p>
            <a:pPr>
              <a:defRPr lang="en-US" sz="900">
                <a:latin typeface="Arial" pitchFamily="34" charset="0"/>
                <a:cs typeface="Arial" pitchFamily="34" charset="0"/>
              </a:defRPr>
            </a:pPr>
            <a:endParaRPr lang="pt-PT"/>
          </a:p>
        </c:txPr>
        <c:crossAx val="266294400"/>
        <c:crosses val="autoZero"/>
        <c:auto val="1"/>
        <c:lblOffset val="100"/>
        <c:baseTimeUnit val="months"/>
        <c:majorUnit val="6"/>
        <c:majorTimeUnit val="months"/>
      </c:dateAx>
      <c:valAx>
        <c:axId val="266294400"/>
        <c:scaling>
          <c:orientation val="minMax"/>
        </c:scaling>
        <c:axPos val="l"/>
        <c:majorGridlines>
          <c:spPr>
            <a:ln>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Variação homóloga (%)</a:t>
                </a:r>
              </a:p>
            </c:rich>
          </c:tx>
          <c:layout>
            <c:manualLayout>
              <c:xMode val="edge"/>
              <c:yMode val="edge"/>
              <c:x val="1.1958568738229761E-2"/>
              <c:y val="3.5990849673202617E-2"/>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66288512"/>
        <c:crosses val="autoZero"/>
        <c:crossBetween val="between"/>
      </c:valAx>
    </c:plotArea>
    <c:legend>
      <c:legendPos val="b"/>
      <c:spPr>
        <a:ln>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1914606481481482"/>
          <c:y val="5.1400554097404488E-2"/>
          <c:w val="0.66138541666670791"/>
          <c:h val="0.71982993827161657"/>
        </c:manualLayout>
      </c:layout>
      <c:barChart>
        <c:barDir val="col"/>
        <c:grouping val="stacked"/>
        <c:ser>
          <c:idx val="0"/>
          <c:order val="0"/>
          <c:tx>
            <c:strRef>
              <c:f>AUX!$C$131</c:f>
              <c:strCache>
                <c:ptCount val="1"/>
                <c:pt idx="0">
                  <c:v>Setor Primário</c:v>
                </c:pt>
              </c:strCache>
            </c:strRef>
          </c:tx>
          <c:spPr>
            <a:solidFill>
              <a:schemeClr val="accent6">
                <a:lumMod val="60000"/>
                <a:lumOff val="40000"/>
              </a:schemeClr>
            </a:solidFill>
            <a:ln>
              <a:noFill/>
            </a:ln>
          </c:spPr>
          <c:dLbls>
            <c:txPr>
              <a:bodyPr/>
              <a:lstStyle/>
              <a:p>
                <a:pPr>
                  <a:defRPr lang="en-US" sz="700">
                    <a:solidFill>
                      <a:schemeClr val="tx1">
                        <a:lumMod val="85000"/>
                        <a:lumOff val="15000"/>
                      </a:schemeClr>
                    </a:solidFill>
                    <a:latin typeface="Arial" pitchFamily="34" charset="0"/>
                    <a:cs typeface="Arial" pitchFamily="34" charset="0"/>
                  </a:defRPr>
                </a:pPr>
                <a:endParaRPr lang="pt-PT"/>
              </a:p>
            </c:txPr>
            <c:dLblPos val="ctr"/>
            <c:showVal val="1"/>
          </c:dLbls>
          <c:cat>
            <c:multiLvlStrRef>
              <c:f>AUX!$A$132:$B$137</c:f>
              <c:multiLvlStrCache>
                <c:ptCount val="6"/>
                <c:lvl>
                  <c:pt idx="0">
                    <c:v>2001</c:v>
                  </c:pt>
                  <c:pt idx="1">
                    <c:v>2011</c:v>
                  </c:pt>
                  <c:pt idx="2">
                    <c:v>2001</c:v>
                  </c:pt>
                  <c:pt idx="3">
                    <c:v>2011</c:v>
                  </c:pt>
                  <c:pt idx="4">
                    <c:v>2001</c:v>
                  </c:pt>
                  <c:pt idx="5">
                    <c:v>2011</c:v>
                  </c:pt>
                </c:lvl>
                <c:lvl>
                  <c:pt idx="0">
                    <c:v>Continente</c:v>
                  </c:pt>
                  <c:pt idx="2">
                    <c:v>0</c:v>
                  </c:pt>
                  <c:pt idx="4">
                    <c:v>0</c:v>
                  </c:pt>
                </c:lvl>
              </c:multiLvlStrCache>
            </c:multiLvlStrRef>
          </c:cat>
          <c:val>
            <c:numRef>
              <c:f>AUX!$C$132:$C$137</c:f>
              <c:numCache>
                <c:formatCode>0.0</c:formatCode>
                <c:ptCount val="6"/>
                <c:pt idx="0">
                  <c:v>4.7543639656675083</c:v>
                </c:pt>
                <c:pt idx="1">
                  <c:v>2.916810834619199</c:v>
                </c:pt>
              </c:numCache>
            </c:numRef>
          </c:val>
        </c:ser>
        <c:ser>
          <c:idx val="1"/>
          <c:order val="1"/>
          <c:tx>
            <c:strRef>
              <c:f>AUX!$D$131</c:f>
              <c:strCache>
                <c:ptCount val="1"/>
                <c:pt idx="0">
                  <c:v>Setor Secundário</c:v>
                </c:pt>
              </c:strCache>
            </c:strRef>
          </c:tx>
          <c:spPr>
            <a:solidFill>
              <a:schemeClr val="accent6">
                <a:lumMod val="75000"/>
              </a:schemeClr>
            </a:solidFill>
            <a:ln>
              <a:noFill/>
            </a:ln>
          </c:spPr>
          <c:dLbls>
            <c:txPr>
              <a:bodyPr/>
              <a:lstStyle/>
              <a:p>
                <a:pPr>
                  <a:defRPr lang="en-US" sz="700">
                    <a:solidFill>
                      <a:schemeClr val="tx1">
                        <a:lumMod val="85000"/>
                        <a:lumOff val="15000"/>
                      </a:schemeClr>
                    </a:solidFill>
                    <a:latin typeface="Arial" pitchFamily="34" charset="0"/>
                    <a:cs typeface="Arial" pitchFamily="34" charset="0"/>
                  </a:defRPr>
                </a:pPr>
                <a:endParaRPr lang="pt-PT"/>
              </a:p>
            </c:txPr>
            <c:dLblPos val="ctr"/>
            <c:showVal val="1"/>
          </c:dLbls>
          <c:cat>
            <c:multiLvlStrRef>
              <c:f>AUX!$A$132:$B$137</c:f>
              <c:multiLvlStrCache>
                <c:ptCount val="6"/>
                <c:lvl>
                  <c:pt idx="0">
                    <c:v>2001</c:v>
                  </c:pt>
                  <c:pt idx="1">
                    <c:v>2011</c:v>
                  </c:pt>
                  <c:pt idx="2">
                    <c:v>2001</c:v>
                  </c:pt>
                  <c:pt idx="3">
                    <c:v>2011</c:v>
                  </c:pt>
                  <c:pt idx="4">
                    <c:v>2001</c:v>
                  </c:pt>
                  <c:pt idx="5">
                    <c:v>2011</c:v>
                  </c:pt>
                </c:lvl>
                <c:lvl>
                  <c:pt idx="0">
                    <c:v>Continente</c:v>
                  </c:pt>
                  <c:pt idx="2">
                    <c:v>0</c:v>
                  </c:pt>
                  <c:pt idx="4">
                    <c:v>0</c:v>
                  </c:pt>
                </c:lvl>
              </c:multiLvlStrCache>
            </c:multiLvlStrRef>
          </c:cat>
          <c:val>
            <c:numRef>
              <c:f>AUX!$D$132:$D$137</c:f>
              <c:numCache>
                <c:formatCode>0.0</c:formatCode>
                <c:ptCount val="6"/>
                <c:pt idx="0">
                  <c:v>35.537602868395638</c:v>
                </c:pt>
                <c:pt idx="1">
                  <c:v>26.874440395426589</c:v>
                </c:pt>
              </c:numCache>
            </c:numRef>
          </c:val>
        </c:ser>
        <c:ser>
          <c:idx val="2"/>
          <c:order val="2"/>
          <c:tx>
            <c:strRef>
              <c:f>AUX!$E$131</c:f>
              <c:strCache>
                <c:ptCount val="1"/>
                <c:pt idx="0">
                  <c:v>Setor Terciário</c:v>
                </c:pt>
              </c:strCache>
            </c:strRef>
          </c:tx>
          <c:spPr>
            <a:solidFill>
              <a:schemeClr val="accent6">
                <a:lumMod val="50000"/>
              </a:schemeClr>
            </a:solidFill>
            <a:ln>
              <a:noFill/>
            </a:ln>
          </c:spPr>
          <c:dLbls>
            <c:txPr>
              <a:bodyPr/>
              <a:lstStyle/>
              <a:p>
                <a:pPr>
                  <a:defRPr lang="en-US" sz="700">
                    <a:solidFill>
                      <a:schemeClr val="bg1">
                        <a:lumMod val="95000"/>
                      </a:schemeClr>
                    </a:solidFill>
                    <a:latin typeface="Arial" pitchFamily="34" charset="0"/>
                    <a:cs typeface="Arial" pitchFamily="34" charset="0"/>
                  </a:defRPr>
                </a:pPr>
                <a:endParaRPr lang="pt-PT"/>
              </a:p>
            </c:txPr>
            <c:dLblPos val="ctr"/>
            <c:showVal val="1"/>
          </c:dLbls>
          <c:cat>
            <c:multiLvlStrRef>
              <c:f>AUX!$A$132:$B$137</c:f>
              <c:multiLvlStrCache>
                <c:ptCount val="6"/>
                <c:lvl>
                  <c:pt idx="0">
                    <c:v>2001</c:v>
                  </c:pt>
                  <c:pt idx="1">
                    <c:v>2011</c:v>
                  </c:pt>
                  <c:pt idx="2">
                    <c:v>2001</c:v>
                  </c:pt>
                  <c:pt idx="3">
                    <c:v>2011</c:v>
                  </c:pt>
                  <c:pt idx="4">
                    <c:v>2001</c:v>
                  </c:pt>
                  <c:pt idx="5">
                    <c:v>2011</c:v>
                  </c:pt>
                </c:lvl>
                <c:lvl>
                  <c:pt idx="0">
                    <c:v>Continente</c:v>
                  </c:pt>
                  <c:pt idx="2">
                    <c:v>0</c:v>
                  </c:pt>
                  <c:pt idx="4">
                    <c:v>0</c:v>
                  </c:pt>
                </c:lvl>
              </c:multiLvlStrCache>
            </c:multiLvlStrRef>
          </c:cat>
          <c:val>
            <c:numRef>
              <c:f>AUX!$E$132:$E$137</c:f>
              <c:numCache>
                <c:formatCode>0.0</c:formatCode>
                <c:ptCount val="6"/>
                <c:pt idx="0">
                  <c:v>59.708033165936861</c:v>
                </c:pt>
                <c:pt idx="1">
                  <c:v>70.208748769954212</c:v>
                </c:pt>
              </c:numCache>
            </c:numRef>
          </c:val>
        </c:ser>
        <c:dLbls>
          <c:showVal val="1"/>
        </c:dLbls>
        <c:gapWidth val="80"/>
        <c:overlap val="100"/>
        <c:axId val="273948032"/>
        <c:axId val="273953920"/>
      </c:barChart>
      <c:catAx>
        <c:axId val="273948032"/>
        <c:scaling>
          <c:orientation val="minMax"/>
        </c:scaling>
        <c:axPos val="b"/>
        <c:tickLblPos val="nextTo"/>
        <c:txPr>
          <a:bodyPr/>
          <a:lstStyle/>
          <a:p>
            <a:pPr>
              <a:defRPr lang="en-US" sz="800">
                <a:latin typeface="Arial" pitchFamily="34" charset="0"/>
                <a:cs typeface="Arial" pitchFamily="34" charset="0"/>
              </a:defRPr>
            </a:pPr>
            <a:endParaRPr lang="pt-PT"/>
          </a:p>
        </c:txPr>
        <c:crossAx val="273953920"/>
        <c:crosses val="autoZero"/>
        <c:auto val="1"/>
        <c:lblAlgn val="ctr"/>
        <c:lblOffset val="100"/>
      </c:catAx>
      <c:valAx>
        <c:axId val="273953920"/>
        <c:scaling>
          <c:orientation val="minMax"/>
          <c:max val="100"/>
        </c:scaling>
        <c:axPos val="l"/>
        <c:majorGridlines>
          <c:spPr>
            <a:ln>
              <a:solidFill>
                <a:schemeClr val="bg1">
                  <a:lumMod val="95000"/>
                </a:schemeClr>
              </a:solidFill>
            </a:ln>
          </c:spPr>
        </c:majorGridlines>
        <c:title>
          <c:tx>
            <c:rich>
              <a:bodyPr rot="0" vert="horz"/>
              <a:lstStyle/>
              <a:p>
                <a:pPr>
                  <a:defRPr lang="en-US" b="0">
                    <a:latin typeface="Arial" pitchFamily="34" charset="0"/>
                    <a:cs typeface="Arial" pitchFamily="34" charset="0"/>
                  </a:defRPr>
                </a:pPr>
                <a:r>
                  <a:rPr lang="en-US" b="0">
                    <a:latin typeface="Arial" pitchFamily="34" charset="0"/>
                    <a:cs typeface="Arial" pitchFamily="34" charset="0"/>
                  </a:rPr>
                  <a:t>%</a:t>
                </a:r>
              </a:p>
            </c:rich>
          </c:tx>
          <c:layout>
            <c:manualLayout>
              <c:xMode val="edge"/>
              <c:yMode val="edge"/>
              <c:x val="0"/>
              <c:y val="1.0520679012346209E-2"/>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3948032"/>
        <c:crosses val="autoZero"/>
        <c:crossBetween val="between"/>
        <c:majorUnit val="20"/>
        <c:minorUnit val="4"/>
      </c:valAx>
    </c:plotArea>
    <c:legend>
      <c:legendPos val="r"/>
      <c:layout>
        <c:manualLayout>
          <c:xMode val="edge"/>
          <c:yMode val="edge"/>
          <c:x val="0.7923011574074077"/>
          <c:y val="0.33482530864198162"/>
          <c:w val="0.19297862601611887"/>
          <c:h val="0.43849722222222232"/>
        </c:manualLayout>
      </c:layout>
      <c:spPr>
        <a:ln>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3326166666666669"/>
          <c:y val="4.3561111111111113E-2"/>
          <c:w val="0.84361305555555965"/>
          <c:h val="0.6554861111111111"/>
        </c:manualLayout>
      </c:layout>
      <c:barChart>
        <c:barDir val="col"/>
        <c:grouping val="stacked"/>
        <c:ser>
          <c:idx val="0"/>
          <c:order val="0"/>
          <c:tx>
            <c:strRef>
              <c:f>AUX!$C$176</c:f>
              <c:strCache>
                <c:ptCount val="1"/>
                <c:pt idx="0">
                  <c:v>Nenhum</c:v>
                </c:pt>
              </c:strCache>
            </c:strRef>
          </c:tx>
          <c:spPr>
            <a:solidFill>
              <a:schemeClr val="bg1">
                <a:lumMod val="65000"/>
              </a:schemeClr>
            </a:solidFill>
            <a:ln>
              <a:noFill/>
            </a:ln>
          </c:spPr>
          <c:dLbls>
            <c:txPr>
              <a:bodyPr/>
              <a:lstStyle/>
              <a:p>
                <a:pPr>
                  <a:defRPr lang="en-US" sz="700">
                    <a:solidFill>
                      <a:schemeClr val="tx1">
                        <a:lumMod val="85000"/>
                        <a:lumOff val="15000"/>
                      </a:schemeClr>
                    </a:solidFill>
                    <a:latin typeface="Arial" pitchFamily="34" charset="0"/>
                    <a:cs typeface="Arial" pitchFamily="34" charset="0"/>
                  </a:defRPr>
                </a:pPr>
                <a:endParaRPr lang="pt-PT"/>
              </a:p>
            </c:txPr>
            <c:dLblPos val="ctr"/>
            <c:showVal val="1"/>
          </c:dLbls>
          <c:cat>
            <c:multiLvlStrRef>
              <c:f>AUX!$A$177:$B$182</c:f>
              <c:multiLvlStrCache>
                <c:ptCount val="6"/>
                <c:lvl>
                  <c:pt idx="0">
                    <c:v>2001</c:v>
                  </c:pt>
                  <c:pt idx="1">
                    <c:v>2011</c:v>
                  </c:pt>
                  <c:pt idx="2">
                    <c:v>2001</c:v>
                  </c:pt>
                  <c:pt idx="3">
                    <c:v>2011</c:v>
                  </c:pt>
                  <c:pt idx="4">
                    <c:v>2001</c:v>
                  </c:pt>
                  <c:pt idx="5">
                    <c:v>2011</c:v>
                  </c:pt>
                </c:lvl>
                <c:lvl>
                  <c:pt idx="0">
                    <c:v>Continente</c:v>
                  </c:pt>
                  <c:pt idx="2">
                    <c:v>0</c:v>
                  </c:pt>
                  <c:pt idx="4">
                    <c:v>0</c:v>
                  </c:pt>
                </c:lvl>
              </c:multiLvlStrCache>
            </c:multiLvlStrRef>
          </c:cat>
          <c:val>
            <c:numRef>
              <c:f>AUX!$C$177:$C$182</c:f>
              <c:numCache>
                <c:formatCode>0.0</c:formatCode>
                <c:ptCount val="6"/>
                <c:pt idx="0">
                  <c:v>26.162217687641416</c:v>
                </c:pt>
                <c:pt idx="1">
                  <c:v>18.812084970163585</c:v>
                </c:pt>
              </c:numCache>
            </c:numRef>
          </c:val>
        </c:ser>
        <c:ser>
          <c:idx val="1"/>
          <c:order val="1"/>
          <c:tx>
            <c:strRef>
              <c:f>AUX!$D$176</c:f>
              <c:strCache>
                <c:ptCount val="1"/>
                <c:pt idx="0">
                  <c:v>Básico</c:v>
                </c:pt>
              </c:strCache>
            </c:strRef>
          </c:tx>
          <c:spPr>
            <a:solidFill>
              <a:schemeClr val="accent6">
                <a:lumMod val="60000"/>
                <a:lumOff val="40000"/>
              </a:schemeClr>
            </a:solidFill>
            <a:ln>
              <a:noFill/>
            </a:ln>
          </c:spPr>
          <c:dLbls>
            <c:txPr>
              <a:bodyPr/>
              <a:lstStyle/>
              <a:p>
                <a:pPr>
                  <a:defRPr lang="en-US" sz="700">
                    <a:solidFill>
                      <a:schemeClr val="tx1">
                        <a:lumMod val="85000"/>
                        <a:lumOff val="15000"/>
                      </a:schemeClr>
                    </a:solidFill>
                    <a:latin typeface="Arial" pitchFamily="34" charset="0"/>
                    <a:cs typeface="Arial" pitchFamily="34" charset="0"/>
                  </a:defRPr>
                </a:pPr>
                <a:endParaRPr lang="pt-PT"/>
              </a:p>
            </c:txPr>
            <c:dLblPos val="ctr"/>
            <c:showVal val="1"/>
          </c:dLbls>
          <c:cat>
            <c:multiLvlStrRef>
              <c:f>AUX!$A$177:$B$182</c:f>
              <c:multiLvlStrCache>
                <c:ptCount val="6"/>
                <c:lvl>
                  <c:pt idx="0">
                    <c:v>2001</c:v>
                  </c:pt>
                  <c:pt idx="1">
                    <c:v>2011</c:v>
                  </c:pt>
                  <c:pt idx="2">
                    <c:v>2001</c:v>
                  </c:pt>
                  <c:pt idx="3">
                    <c:v>2011</c:v>
                  </c:pt>
                  <c:pt idx="4">
                    <c:v>2001</c:v>
                  </c:pt>
                  <c:pt idx="5">
                    <c:v>2011</c:v>
                  </c:pt>
                </c:lvl>
                <c:lvl>
                  <c:pt idx="0">
                    <c:v>Continente</c:v>
                  </c:pt>
                  <c:pt idx="2">
                    <c:v>0</c:v>
                  </c:pt>
                  <c:pt idx="4">
                    <c:v>0</c:v>
                  </c:pt>
                </c:lvl>
              </c:multiLvlStrCache>
            </c:multiLvlStrRef>
          </c:cat>
          <c:val>
            <c:numRef>
              <c:f>AUX!$D$177:$D$182</c:f>
              <c:numCache>
                <c:formatCode>0.0</c:formatCode>
                <c:ptCount val="6"/>
                <c:pt idx="0">
                  <c:v>55.385216624855374</c:v>
                </c:pt>
                <c:pt idx="1">
                  <c:v>54.940985532794286</c:v>
                </c:pt>
              </c:numCache>
            </c:numRef>
          </c:val>
        </c:ser>
        <c:ser>
          <c:idx val="2"/>
          <c:order val="2"/>
          <c:tx>
            <c:strRef>
              <c:f>AUX!$E$176</c:f>
              <c:strCache>
                <c:ptCount val="1"/>
                <c:pt idx="0">
                  <c:v>Secundário</c:v>
                </c:pt>
              </c:strCache>
            </c:strRef>
          </c:tx>
          <c:spPr>
            <a:solidFill>
              <a:schemeClr val="accent6">
                <a:lumMod val="75000"/>
              </a:schemeClr>
            </a:solidFill>
            <a:ln>
              <a:noFill/>
            </a:ln>
          </c:spPr>
          <c:dLbls>
            <c:txPr>
              <a:bodyPr/>
              <a:lstStyle/>
              <a:p>
                <a:pPr>
                  <a:defRPr lang="en-US" sz="700">
                    <a:solidFill>
                      <a:schemeClr val="tx1">
                        <a:lumMod val="85000"/>
                        <a:lumOff val="15000"/>
                      </a:schemeClr>
                    </a:solidFill>
                    <a:latin typeface="Arial" pitchFamily="34" charset="0"/>
                    <a:cs typeface="Arial" pitchFamily="34" charset="0"/>
                  </a:defRPr>
                </a:pPr>
                <a:endParaRPr lang="pt-PT"/>
              </a:p>
            </c:txPr>
            <c:dLblPos val="ctr"/>
            <c:showVal val="1"/>
          </c:dLbls>
          <c:cat>
            <c:multiLvlStrRef>
              <c:f>AUX!$A$177:$B$182</c:f>
              <c:multiLvlStrCache>
                <c:ptCount val="6"/>
                <c:lvl>
                  <c:pt idx="0">
                    <c:v>2001</c:v>
                  </c:pt>
                  <c:pt idx="1">
                    <c:v>2011</c:v>
                  </c:pt>
                  <c:pt idx="2">
                    <c:v>2001</c:v>
                  </c:pt>
                  <c:pt idx="3">
                    <c:v>2011</c:v>
                  </c:pt>
                  <c:pt idx="4">
                    <c:v>2001</c:v>
                  </c:pt>
                  <c:pt idx="5">
                    <c:v>2011</c:v>
                  </c:pt>
                </c:lvl>
                <c:lvl>
                  <c:pt idx="0">
                    <c:v>Continente</c:v>
                  </c:pt>
                  <c:pt idx="2">
                    <c:v>0</c:v>
                  </c:pt>
                  <c:pt idx="4">
                    <c:v>0</c:v>
                  </c:pt>
                </c:lvl>
              </c:multiLvlStrCache>
            </c:multiLvlStrRef>
          </c:cat>
          <c:val>
            <c:numRef>
              <c:f>AUX!$E$177:$E$182</c:f>
              <c:numCache>
                <c:formatCode>0.0</c:formatCode>
                <c:ptCount val="6"/>
                <c:pt idx="0">
                  <c:v>11.841082025419523</c:v>
                </c:pt>
                <c:pt idx="1">
                  <c:v>14.31920053513165</c:v>
                </c:pt>
              </c:numCache>
            </c:numRef>
          </c:val>
        </c:ser>
        <c:ser>
          <c:idx val="3"/>
          <c:order val="3"/>
          <c:tx>
            <c:strRef>
              <c:f>AUX!$F$176</c:f>
              <c:strCache>
                <c:ptCount val="1"/>
                <c:pt idx="0">
                  <c:v>Superior</c:v>
                </c:pt>
              </c:strCache>
            </c:strRef>
          </c:tx>
          <c:spPr>
            <a:solidFill>
              <a:schemeClr val="accent6">
                <a:lumMod val="50000"/>
              </a:schemeClr>
            </a:solidFill>
            <a:ln>
              <a:noFill/>
            </a:ln>
          </c:spPr>
          <c:dLbls>
            <c:txPr>
              <a:bodyPr/>
              <a:lstStyle/>
              <a:p>
                <a:pPr>
                  <a:defRPr lang="en-US" sz="700">
                    <a:solidFill>
                      <a:schemeClr val="bg1">
                        <a:lumMod val="95000"/>
                      </a:schemeClr>
                    </a:solidFill>
                    <a:latin typeface="Arial" pitchFamily="34" charset="0"/>
                    <a:cs typeface="Arial" pitchFamily="34" charset="0"/>
                  </a:defRPr>
                </a:pPr>
                <a:endParaRPr lang="pt-PT"/>
              </a:p>
            </c:txPr>
            <c:dLblPos val="ctr"/>
            <c:showVal val="1"/>
          </c:dLbls>
          <c:cat>
            <c:multiLvlStrRef>
              <c:f>AUX!$A$177:$B$182</c:f>
              <c:multiLvlStrCache>
                <c:ptCount val="6"/>
                <c:lvl>
                  <c:pt idx="0">
                    <c:v>2001</c:v>
                  </c:pt>
                  <c:pt idx="1">
                    <c:v>2011</c:v>
                  </c:pt>
                  <c:pt idx="2">
                    <c:v>2001</c:v>
                  </c:pt>
                  <c:pt idx="3">
                    <c:v>2011</c:v>
                  </c:pt>
                  <c:pt idx="4">
                    <c:v>2001</c:v>
                  </c:pt>
                  <c:pt idx="5">
                    <c:v>2011</c:v>
                  </c:pt>
                </c:lvl>
                <c:lvl>
                  <c:pt idx="0">
                    <c:v>Continente</c:v>
                  </c:pt>
                  <c:pt idx="2">
                    <c:v>0</c:v>
                  </c:pt>
                  <c:pt idx="4">
                    <c:v>0</c:v>
                  </c:pt>
                </c:lvl>
              </c:multiLvlStrCache>
            </c:multiLvlStrRef>
          </c:cat>
          <c:val>
            <c:numRef>
              <c:f>AUX!$F$177:$F$182</c:f>
              <c:numCache>
                <c:formatCode>0.0</c:formatCode>
                <c:ptCount val="6"/>
                <c:pt idx="0">
                  <c:v>6.6114836620836863</c:v>
                </c:pt>
                <c:pt idx="1">
                  <c:v>11.927728961910486</c:v>
                </c:pt>
              </c:numCache>
            </c:numRef>
          </c:val>
        </c:ser>
        <c:dLbls>
          <c:showVal val="1"/>
        </c:dLbls>
        <c:gapWidth val="80"/>
        <c:overlap val="100"/>
        <c:axId val="274010880"/>
        <c:axId val="274012416"/>
      </c:barChart>
      <c:catAx>
        <c:axId val="274010880"/>
        <c:scaling>
          <c:orientation val="minMax"/>
        </c:scaling>
        <c:axPos val="b"/>
        <c:tickLblPos val="nextTo"/>
        <c:txPr>
          <a:bodyPr/>
          <a:lstStyle/>
          <a:p>
            <a:pPr>
              <a:defRPr lang="en-US" sz="800">
                <a:latin typeface="Arial" pitchFamily="34" charset="0"/>
                <a:cs typeface="Arial" pitchFamily="34" charset="0"/>
              </a:defRPr>
            </a:pPr>
            <a:endParaRPr lang="pt-PT"/>
          </a:p>
        </c:txPr>
        <c:crossAx val="274012416"/>
        <c:crosses val="autoZero"/>
        <c:auto val="1"/>
        <c:lblAlgn val="ctr"/>
        <c:lblOffset val="100"/>
      </c:catAx>
      <c:valAx>
        <c:axId val="274012416"/>
        <c:scaling>
          <c:orientation val="minMax"/>
          <c:max val="100"/>
        </c:scaling>
        <c:axPos val="l"/>
        <c:majorGridlines>
          <c:spPr>
            <a:ln>
              <a:solidFill>
                <a:schemeClr val="bg1">
                  <a:lumMod val="95000"/>
                </a:schemeClr>
              </a:solidFill>
            </a:ln>
          </c:spPr>
        </c:majorGridlines>
        <c:title>
          <c:tx>
            <c:rich>
              <a:bodyPr rot="0" vert="horz"/>
              <a:lstStyle/>
              <a:p>
                <a:pPr>
                  <a:defRPr lang="en-US" b="0">
                    <a:latin typeface="Arial" pitchFamily="34" charset="0"/>
                    <a:cs typeface="Arial" pitchFamily="34" charset="0"/>
                  </a:defRPr>
                </a:pPr>
                <a:r>
                  <a:rPr lang="en-US" b="0">
                    <a:latin typeface="Arial" pitchFamily="34" charset="0"/>
                    <a:cs typeface="Arial" pitchFamily="34" charset="0"/>
                  </a:rPr>
                  <a:t>%</a:t>
                </a:r>
              </a:p>
            </c:rich>
          </c:tx>
          <c:layout>
            <c:manualLayout>
              <c:xMode val="edge"/>
              <c:yMode val="edge"/>
              <c:x val="2.9398148148148148E-3"/>
              <c:y val="1.3626543209876643E-2"/>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010880"/>
        <c:crosses val="autoZero"/>
        <c:crossBetween val="between"/>
        <c:majorUnit val="20"/>
        <c:minorUnit val="4"/>
      </c:valAx>
    </c:plotArea>
    <c:legend>
      <c:legendPos val="b"/>
      <c:spPr>
        <a:ln>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2411531279178339"/>
          <c:y val="7.565856481481481E-2"/>
          <c:w val="0.85513305322128863"/>
          <c:h val="0.7164864969136"/>
        </c:manualLayout>
      </c:layout>
      <c:lineChart>
        <c:grouping val="standard"/>
        <c:ser>
          <c:idx val="1"/>
          <c:order val="0"/>
          <c:tx>
            <c:strRef>
              <c:f>AUX!$A$147</c:f>
              <c:strCache>
                <c:ptCount val="1"/>
                <c:pt idx="0">
                  <c:v>Continente</c:v>
                </c:pt>
              </c:strCache>
            </c:strRef>
          </c:tx>
          <c:spPr>
            <a:ln w="19050">
              <a:solidFill>
                <a:srgbClr val="FF0000"/>
              </a:solidFill>
            </a:ln>
          </c:spPr>
          <c:marker>
            <c:symbol val="none"/>
          </c:marker>
          <c:cat>
            <c:numRef>
              <c:f>AUX!$B$146:$G$146</c:f>
              <c:numCache>
                <c:formatCode>General</c:formatCode>
                <c:ptCount val="6"/>
                <c:pt idx="0">
                  <c:v>2007</c:v>
                </c:pt>
                <c:pt idx="1">
                  <c:v>2008</c:v>
                </c:pt>
                <c:pt idx="2">
                  <c:v>2009</c:v>
                </c:pt>
                <c:pt idx="3">
                  <c:v>2010</c:v>
                </c:pt>
                <c:pt idx="4">
                  <c:v>2011</c:v>
                </c:pt>
                <c:pt idx="5">
                  <c:v>2012</c:v>
                </c:pt>
              </c:numCache>
            </c:numRef>
          </c:cat>
          <c:val>
            <c:numRef>
              <c:f>AUX!$B$147:$G$147</c:f>
              <c:numCache>
                <c:formatCode>0.0</c:formatCode>
                <c:ptCount val="6"/>
                <c:pt idx="0">
                  <c:v>39.879231605072917</c:v>
                </c:pt>
                <c:pt idx="1">
                  <c:v>45.481483711291325</c:v>
                </c:pt>
                <c:pt idx="2">
                  <c:v>53.018993585510437</c:v>
                </c:pt>
                <c:pt idx="3">
                  <c:v>57.176242127384313</c:v>
                </c:pt>
                <c:pt idx="4">
                  <c:v>48.52394789542241</c:v>
                </c:pt>
                <c:pt idx="5">
                  <c:v>45.237319886119991</c:v>
                </c:pt>
              </c:numCache>
            </c:numRef>
          </c:val>
        </c:ser>
        <c:ser>
          <c:idx val="2"/>
          <c:order val="1"/>
          <c:tx>
            <c:strRef>
              <c:f>AUX!$A$148</c:f>
              <c:strCache>
                <c:ptCount val="1"/>
                <c:pt idx="0">
                  <c:v>0</c:v>
                </c:pt>
              </c:strCache>
            </c:strRef>
          </c:tx>
          <c:spPr>
            <a:ln w="19050">
              <a:solidFill>
                <a:schemeClr val="tx2"/>
              </a:solidFill>
            </a:ln>
          </c:spPr>
          <c:marker>
            <c:symbol val="none"/>
          </c:marker>
          <c:cat>
            <c:numRef>
              <c:f>AUX!$B$146:$G$146</c:f>
              <c:numCache>
                <c:formatCode>General</c:formatCode>
                <c:ptCount val="6"/>
                <c:pt idx="0">
                  <c:v>2007</c:v>
                </c:pt>
                <c:pt idx="1">
                  <c:v>2008</c:v>
                </c:pt>
                <c:pt idx="2">
                  <c:v>2009</c:v>
                </c:pt>
                <c:pt idx="3">
                  <c:v>2010</c:v>
                </c:pt>
                <c:pt idx="4">
                  <c:v>2011</c:v>
                </c:pt>
                <c:pt idx="5">
                  <c:v>2012</c:v>
                </c:pt>
              </c:numCache>
            </c:numRef>
          </c:cat>
          <c:val>
            <c:numRef>
              <c:f>AUX!$B$148:$G$148</c:f>
              <c:numCache>
                <c:formatCode>0.0</c:formatCode>
                <c:ptCount val="6"/>
              </c:numCache>
            </c:numRef>
          </c:val>
        </c:ser>
        <c:ser>
          <c:idx val="3"/>
          <c:order val="2"/>
          <c:tx>
            <c:strRef>
              <c:f>AUX!$A$149</c:f>
              <c:strCache>
                <c:ptCount val="1"/>
                <c:pt idx="0">
                  <c:v>0</c:v>
                </c:pt>
              </c:strCache>
            </c:strRef>
          </c:tx>
          <c:spPr>
            <a:ln w="38100">
              <a:solidFill>
                <a:srgbClr val="008080"/>
              </a:solidFill>
            </a:ln>
          </c:spPr>
          <c:marker>
            <c:symbol val="none"/>
          </c:marker>
          <c:cat>
            <c:numRef>
              <c:f>AUX!$B$146:$G$146</c:f>
              <c:numCache>
                <c:formatCode>General</c:formatCode>
                <c:ptCount val="6"/>
                <c:pt idx="0">
                  <c:v>2007</c:v>
                </c:pt>
                <c:pt idx="1">
                  <c:v>2008</c:v>
                </c:pt>
                <c:pt idx="2">
                  <c:v>2009</c:v>
                </c:pt>
                <c:pt idx="3">
                  <c:v>2010</c:v>
                </c:pt>
                <c:pt idx="4">
                  <c:v>2011</c:v>
                </c:pt>
                <c:pt idx="5">
                  <c:v>2012</c:v>
                </c:pt>
              </c:numCache>
            </c:numRef>
          </c:cat>
          <c:val>
            <c:numRef>
              <c:f>AUX!$B$149:$G$149</c:f>
              <c:numCache>
                <c:formatCode>0.0</c:formatCode>
                <c:ptCount val="6"/>
              </c:numCache>
            </c:numRef>
          </c:val>
        </c:ser>
        <c:marker val="1"/>
        <c:axId val="274034688"/>
        <c:axId val="274036224"/>
      </c:lineChart>
      <c:catAx>
        <c:axId val="274034688"/>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74036224"/>
        <c:crosses val="autoZero"/>
        <c:auto val="1"/>
        <c:lblAlgn val="ctr"/>
        <c:lblOffset val="100"/>
        <c:tickMarkSkip val="1"/>
      </c:catAx>
      <c:valAx>
        <c:axId val="274036224"/>
        <c:scaling>
          <c:orientation val="minMax"/>
        </c:scaling>
        <c:axPos val="l"/>
        <c:majorGridlines>
          <c:spPr>
            <a:ln w="3175">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/1000 habitantes (15+</a:t>
                </a:r>
                <a:r>
                  <a:rPr lang="en-US" sz="900" b="0" baseline="0">
                    <a:latin typeface="Arial" pitchFamily="34" charset="0"/>
                    <a:cs typeface="Arial" pitchFamily="34" charset="0"/>
                  </a:rPr>
                  <a:t> anos)</a:t>
                </a:r>
                <a:endParaRPr lang="en-US" sz="900" b="0">
                  <a:latin typeface="Arial" pitchFamily="34" charset="0"/>
                  <a:cs typeface="Arial" pitchFamily="34" charset="0"/>
                </a:endParaRPr>
              </a:p>
            </c:rich>
          </c:tx>
          <c:layout>
            <c:manualLayout>
              <c:xMode val="edge"/>
              <c:yMode val="edge"/>
              <c:x val="5.6192810457517117E-3"/>
              <c:y val="4.0030549560019855E-2"/>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034688"/>
        <c:crosses val="autoZero"/>
        <c:crossBetween val="between"/>
      </c:valAx>
    </c:plotArea>
    <c:legend>
      <c:legendPos val="b"/>
      <c:layout>
        <c:manualLayout>
          <c:xMode val="edge"/>
          <c:yMode val="edge"/>
          <c:x val="1.4246498599439775E-2"/>
          <c:y val="0.92349344506743858"/>
          <c:w val="0.97150676937441638"/>
          <c:h val="5.9385594042128176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3004435107376291"/>
          <c:y val="7.565856481481481E-2"/>
          <c:w val="0.84920401493930964"/>
          <c:h val="0.7164864969136"/>
        </c:manualLayout>
      </c:layout>
      <c:lineChart>
        <c:grouping val="standard"/>
        <c:ser>
          <c:idx val="1"/>
          <c:order val="0"/>
          <c:tx>
            <c:strRef>
              <c:f>AUX!$A$153</c:f>
              <c:strCache>
                <c:ptCount val="1"/>
                <c:pt idx="0">
                  <c:v>Continente</c:v>
                </c:pt>
              </c:strCache>
            </c:strRef>
          </c:tx>
          <c:spPr>
            <a:ln w="19050">
              <a:solidFill>
                <a:srgbClr val="FF0000"/>
              </a:solidFill>
            </a:ln>
          </c:spPr>
          <c:marker>
            <c:symbol val="none"/>
          </c:marker>
          <c:cat>
            <c:numRef>
              <c:f>AUX!$B$152:$J$152</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AUX!$B$153:$J$153</c:f>
              <c:numCache>
                <c:formatCode>0.0</c:formatCode>
                <c:ptCount val="9"/>
                <c:pt idx="0">
                  <c:v>308.71619934766608</c:v>
                </c:pt>
                <c:pt idx="1">
                  <c:v>312.09927804852146</c:v>
                </c:pt>
                <c:pt idx="2">
                  <c:v>316.25844740270571</c:v>
                </c:pt>
                <c:pt idx="3">
                  <c:v>319.75619541284226</c:v>
                </c:pt>
                <c:pt idx="4">
                  <c:v>322.84693772081488</c:v>
                </c:pt>
                <c:pt idx="5">
                  <c:v>326.34180785995295</c:v>
                </c:pt>
                <c:pt idx="6">
                  <c:v>329.27009346570185</c:v>
                </c:pt>
                <c:pt idx="7">
                  <c:v>334.52503593478895</c:v>
                </c:pt>
                <c:pt idx="8">
                  <c:v>340.88678353562369</c:v>
                </c:pt>
              </c:numCache>
            </c:numRef>
          </c:val>
        </c:ser>
        <c:ser>
          <c:idx val="2"/>
          <c:order val="1"/>
          <c:tx>
            <c:strRef>
              <c:f>AUX!$A$154</c:f>
              <c:strCache>
                <c:ptCount val="1"/>
                <c:pt idx="0">
                  <c:v>0</c:v>
                </c:pt>
              </c:strCache>
            </c:strRef>
          </c:tx>
          <c:spPr>
            <a:ln w="19050">
              <a:solidFill>
                <a:schemeClr val="tx2"/>
              </a:solidFill>
            </a:ln>
          </c:spPr>
          <c:marker>
            <c:symbol val="none"/>
          </c:marker>
          <c:cat>
            <c:numRef>
              <c:f>AUX!$B$152:$J$152</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AUX!$B$154:$J$154</c:f>
              <c:numCache>
                <c:formatCode>0.0</c:formatCode>
                <c:ptCount val="9"/>
              </c:numCache>
            </c:numRef>
          </c:val>
        </c:ser>
        <c:ser>
          <c:idx val="3"/>
          <c:order val="2"/>
          <c:tx>
            <c:strRef>
              <c:f>AUX!$A$155</c:f>
              <c:strCache>
                <c:ptCount val="1"/>
                <c:pt idx="0">
                  <c:v>0</c:v>
                </c:pt>
              </c:strCache>
            </c:strRef>
          </c:tx>
          <c:spPr>
            <a:ln w="38100">
              <a:solidFill>
                <a:srgbClr val="008080"/>
              </a:solidFill>
            </a:ln>
          </c:spPr>
          <c:marker>
            <c:symbol val="none"/>
          </c:marker>
          <c:cat>
            <c:numRef>
              <c:f>AUX!$B$152:$J$152</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AUX!$B$155:$J$155</c:f>
              <c:numCache>
                <c:formatCode>0.0</c:formatCode>
                <c:ptCount val="9"/>
              </c:numCache>
            </c:numRef>
          </c:val>
        </c:ser>
        <c:marker val="1"/>
        <c:axId val="274082432"/>
        <c:axId val="274092416"/>
      </c:lineChart>
      <c:catAx>
        <c:axId val="274082432"/>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74092416"/>
        <c:crosses val="autoZero"/>
        <c:auto val="1"/>
        <c:lblAlgn val="ctr"/>
        <c:lblOffset val="100"/>
        <c:tickMarkSkip val="1"/>
      </c:catAx>
      <c:valAx>
        <c:axId val="274092416"/>
        <c:scaling>
          <c:orientation val="minMax"/>
        </c:scaling>
        <c:axPos val="l"/>
        <c:majorGridlines>
          <c:spPr>
            <a:ln w="3175">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/1000 habitantes (15+ anos)</a:t>
                </a:r>
              </a:p>
            </c:rich>
          </c:tx>
          <c:layout>
            <c:manualLayout>
              <c:xMode val="edge"/>
              <c:yMode val="edge"/>
              <c:x val="5.6192810457517117E-3"/>
              <c:y val="4.0030549560019855E-2"/>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082432"/>
        <c:crosses val="autoZero"/>
        <c:crossBetween val="between"/>
      </c:valAx>
    </c:plotArea>
    <c:legend>
      <c:legendPos val="b"/>
      <c:layout>
        <c:manualLayout>
          <c:xMode val="edge"/>
          <c:yMode val="edge"/>
          <c:x val="1.4246498599439775E-2"/>
          <c:y val="0.92349344506743858"/>
          <c:w val="0.97150676937441638"/>
          <c:h val="5.9385594042128224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1225723622782448"/>
          <c:y val="7.565856481481481E-2"/>
          <c:w val="0.86699112978524739"/>
          <c:h val="0.7164864969136"/>
        </c:manualLayout>
      </c:layout>
      <c:lineChart>
        <c:grouping val="standard"/>
        <c:ser>
          <c:idx val="1"/>
          <c:order val="0"/>
          <c:tx>
            <c:strRef>
              <c:f>AUX!$A$159</c:f>
              <c:strCache>
                <c:ptCount val="1"/>
                <c:pt idx="0">
                  <c:v>Continente</c:v>
                </c:pt>
              </c:strCache>
            </c:strRef>
          </c:tx>
          <c:spPr>
            <a:ln w="19050">
              <a:solidFill>
                <a:srgbClr val="FF0000"/>
              </a:solidFill>
            </a:ln>
          </c:spPr>
          <c:marker>
            <c:symbol val="none"/>
          </c:marker>
          <c:cat>
            <c:numRef>
              <c:f>AUX!$B$158:$P$158</c:f>
              <c:numCache>
                <c:formatCode>General</c:formatCode>
                <c:ptCount val="1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numCache>
            </c:numRef>
          </c:cat>
          <c:val>
            <c:numRef>
              <c:f>AUX!$B$159:$P$159</c:f>
              <c:numCache>
                <c:formatCode>0.0</c:formatCode>
                <c:ptCount val="15"/>
                <c:pt idx="0">
                  <c:v>33.186267953026743</c:v>
                </c:pt>
                <c:pt idx="1">
                  <c:v>34.962172723400066</c:v>
                </c:pt>
                <c:pt idx="2">
                  <c:v>34.354886530410589</c:v>
                </c:pt>
                <c:pt idx="3">
                  <c:v>34.894795727795106</c:v>
                </c:pt>
                <c:pt idx="4">
                  <c:v>36.86292663223535</c:v>
                </c:pt>
                <c:pt idx="5">
                  <c:v>39.217223418576992</c:v>
                </c:pt>
                <c:pt idx="6">
                  <c:v>39.31552007156391</c:v>
                </c:pt>
                <c:pt idx="7">
                  <c:v>36.508110015725045</c:v>
                </c:pt>
                <c:pt idx="8">
                  <c:v>37.149912057226537</c:v>
                </c:pt>
                <c:pt idx="9">
                  <c:v>36.700977346587649</c:v>
                </c:pt>
                <c:pt idx="10">
                  <c:v>38.944779362794868</c:v>
                </c:pt>
                <c:pt idx="11">
                  <c:v>38.714241067274862</c:v>
                </c:pt>
                <c:pt idx="12">
                  <c:v>38.576858080817068</c:v>
                </c:pt>
                <c:pt idx="13">
                  <c:v>37.942699049583254</c:v>
                </c:pt>
                <c:pt idx="14">
                  <c:v>37.299297589801945</c:v>
                </c:pt>
              </c:numCache>
            </c:numRef>
          </c:val>
        </c:ser>
        <c:ser>
          <c:idx val="2"/>
          <c:order val="1"/>
          <c:tx>
            <c:strRef>
              <c:f>AUX!$A$160</c:f>
              <c:strCache>
                <c:ptCount val="1"/>
                <c:pt idx="0">
                  <c:v>0</c:v>
                </c:pt>
              </c:strCache>
            </c:strRef>
          </c:tx>
          <c:spPr>
            <a:ln w="19050">
              <a:solidFill>
                <a:schemeClr val="tx2"/>
              </a:solidFill>
            </a:ln>
          </c:spPr>
          <c:marker>
            <c:symbol val="none"/>
          </c:marker>
          <c:cat>
            <c:numRef>
              <c:f>AUX!$B$158:$P$158</c:f>
              <c:numCache>
                <c:formatCode>General</c:formatCode>
                <c:ptCount val="1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numCache>
            </c:numRef>
          </c:cat>
          <c:val>
            <c:numRef>
              <c:f>AUX!$B$160:$P$160</c:f>
              <c:numCache>
                <c:formatCode>0.0</c:formatCode>
                <c:ptCount val="15"/>
              </c:numCache>
            </c:numRef>
          </c:val>
        </c:ser>
        <c:ser>
          <c:idx val="3"/>
          <c:order val="2"/>
          <c:tx>
            <c:strRef>
              <c:f>AUX!$A$161</c:f>
              <c:strCache>
                <c:ptCount val="1"/>
                <c:pt idx="0">
                  <c:v>0</c:v>
                </c:pt>
              </c:strCache>
            </c:strRef>
          </c:tx>
          <c:spPr>
            <a:ln w="38100">
              <a:solidFill>
                <a:srgbClr val="008080"/>
              </a:solidFill>
            </a:ln>
          </c:spPr>
          <c:marker>
            <c:symbol val="none"/>
          </c:marker>
          <c:cat>
            <c:numRef>
              <c:f>AUX!$B$158:$P$158</c:f>
              <c:numCache>
                <c:formatCode>General</c:formatCode>
                <c:ptCount val="1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numCache>
            </c:numRef>
          </c:cat>
          <c:val>
            <c:numRef>
              <c:f>AUX!$B$161:$P$161</c:f>
              <c:numCache>
                <c:formatCode>0.0</c:formatCode>
                <c:ptCount val="15"/>
              </c:numCache>
            </c:numRef>
          </c:val>
        </c:ser>
        <c:marker val="1"/>
        <c:axId val="274126336"/>
        <c:axId val="274127872"/>
      </c:lineChart>
      <c:catAx>
        <c:axId val="274126336"/>
        <c:scaling>
          <c:orientation val="minMax"/>
        </c:scaling>
        <c:axPos val="b"/>
        <c:numFmt formatCode="General" sourceLinked="1"/>
        <c:tickLblPos val="nextTo"/>
        <c:txPr>
          <a:bodyPr/>
          <a:lstStyle/>
          <a:p>
            <a:pPr>
              <a:defRPr lang="en-US" sz="700">
                <a:latin typeface="Arial" pitchFamily="34" charset="0"/>
                <a:cs typeface="Arial" pitchFamily="34" charset="0"/>
              </a:defRPr>
            </a:pPr>
            <a:endParaRPr lang="pt-PT"/>
          </a:p>
        </c:txPr>
        <c:crossAx val="274127872"/>
        <c:crosses val="autoZero"/>
        <c:auto val="1"/>
        <c:lblAlgn val="ctr"/>
        <c:lblOffset val="100"/>
        <c:tickMarkSkip val="1"/>
      </c:catAx>
      <c:valAx>
        <c:axId val="274127872"/>
        <c:scaling>
          <c:orientation val="minMax"/>
        </c:scaling>
        <c:axPos val="l"/>
        <c:majorGridlines>
          <c:spPr>
            <a:ln w="3175">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/1000 habitantes</a:t>
                </a:r>
              </a:p>
            </c:rich>
          </c:tx>
          <c:layout>
            <c:manualLayout>
              <c:xMode val="edge"/>
              <c:yMode val="edge"/>
              <c:x val="2.6548672566373147E-3"/>
              <c:y val="6.2932098765432183E-3"/>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126336"/>
        <c:crosses val="autoZero"/>
        <c:crossBetween val="between"/>
      </c:valAx>
    </c:plotArea>
    <c:legend>
      <c:legendPos val="b"/>
      <c:layout>
        <c:manualLayout>
          <c:xMode val="edge"/>
          <c:yMode val="edge"/>
          <c:x val="1.4246498599439775E-2"/>
          <c:y val="0.92349344506743858"/>
          <c:w val="0.97150676937441638"/>
          <c:h val="5.938559404212828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5295763888888891"/>
          <c:y val="4.6079084967320293E-2"/>
          <c:w val="0.81415648148148145"/>
          <c:h val="0.65184477124186502"/>
        </c:manualLayout>
      </c:layout>
      <c:lineChart>
        <c:grouping val="standard"/>
        <c:ser>
          <c:idx val="2"/>
          <c:order val="0"/>
          <c:tx>
            <c:strRef>
              <c:f>AUX!$A$118</c:f>
              <c:strCache>
                <c:ptCount val="1"/>
                <c:pt idx="0">
                  <c:v>Continente</c:v>
                </c:pt>
              </c:strCache>
            </c:strRef>
          </c:tx>
          <c:spPr>
            <a:ln w="19050">
              <a:solidFill>
                <a:srgbClr val="FF0000"/>
              </a:solidFill>
            </a:ln>
          </c:spPr>
          <c:marker>
            <c:symbol val="none"/>
          </c:marker>
          <c:cat>
            <c:numRef>
              <c:f>AUX!$B$117:$DQ$117</c:f>
              <c:numCache>
                <c:formatCode>mmm/yy</c:formatCode>
                <c:ptCount val="120"/>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numCache>
            </c:numRef>
          </c:cat>
          <c:val>
            <c:numRef>
              <c:f>AUX!$B$118:$DQ$118</c:f>
              <c:numCache>
                <c:formatCode>0.0</c:formatCode>
                <c:ptCount val="120"/>
                <c:pt idx="0">
                  <c:v>54.130555028780918</c:v>
                </c:pt>
                <c:pt idx="1">
                  <c:v>54.531066324172848</c:v>
                </c:pt>
                <c:pt idx="2">
                  <c:v>54.900316429649301</c:v>
                </c:pt>
                <c:pt idx="3">
                  <c:v>53.833723487700283</c:v>
                </c:pt>
                <c:pt idx="4">
                  <c:v>52.702040670591423</c:v>
                </c:pt>
                <c:pt idx="5">
                  <c:v>51.818731713133062</c:v>
                </c:pt>
                <c:pt idx="6">
                  <c:v>51.95961860733685</c:v>
                </c:pt>
                <c:pt idx="7">
                  <c:v>52.374824758745689</c:v>
                </c:pt>
                <c:pt idx="8">
                  <c:v>54.349915056519833</c:v>
                </c:pt>
                <c:pt idx="9">
                  <c:v>54.385273352243978</c:v>
                </c:pt>
                <c:pt idx="10">
                  <c:v>54.726663765909947</c:v>
                </c:pt>
                <c:pt idx="11">
                  <c:v>54.406390776019244</c:v>
                </c:pt>
                <c:pt idx="12">
                  <c:v>56.031910282540842</c:v>
                </c:pt>
                <c:pt idx="13">
                  <c:v>56.491318307146663</c:v>
                </c:pt>
                <c:pt idx="14">
                  <c:v>56.143722257259768</c:v>
                </c:pt>
                <c:pt idx="15">
                  <c:v>55.466907758420554</c:v>
                </c:pt>
                <c:pt idx="16">
                  <c:v>54.509387684023402</c:v>
                </c:pt>
                <c:pt idx="17">
                  <c:v>53.787839092105678</c:v>
                </c:pt>
                <c:pt idx="18">
                  <c:v>53.421964589390718</c:v>
                </c:pt>
                <c:pt idx="19">
                  <c:v>53.938762346576958</c:v>
                </c:pt>
                <c:pt idx="20">
                  <c:v>55.997887064649284</c:v>
                </c:pt>
                <c:pt idx="21">
                  <c:v>56.188080148788778</c:v>
                </c:pt>
                <c:pt idx="22">
                  <c:v>56.301130540064101</c:v>
                </c:pt>
                <c:pt idx="23">
                  <c:v>55.490003347548566</c:v>
                </c:pt>
                <c:pt idx="24">
                  <c:v>56.829620755458492</c:v>
                </c:pt>
                <c:pt idx="25">
                  <c:v>56.419831180472208</c:v>
                </c:pt>
                <c:pt idx="26">
                  <c:v>55.484880674995182</c:v>
                </c:pt>
                <c:pt idx="27">
                  <c:v>54.224491036351104</c:v>
                </c:pt>
                <c:pt idx="28">
                  <c:v>52.787613236559707</c:v>
                </c:pt>
                <c:pt idx="29">
                  <c:v>51.07712341388752</c:v>
                </c:pt>
                <c:pt idx="30">
                  <c:v>50.43790179874361</c:v>
                </c:pt>
                <c:pt idx="31">
                  <c:v>50.398439012882392</c:v>
                </c:pt>
                <c:pt idx="32">
                  <c:v>51.69886568872446</c:v>
                </c:pt>
                <c:pt idx="33">
                  <c:v>52.105170709888576</c:v>
                </c:pt>
                <c:pt idx="34">
                  <c:v>52.622326394445928</c:v>
                </c:pt>
                <c:pt idx="35">
                  <c:v>51.995148812744453</c:v>
                </c:pt>
                <c:pt idx="36">
                  <c:v>52.499004103142312</c:v>
                </c:pt>
                <c:pt idx="37">
                  <c:v>51.752731214644477</c:v>
                </c:pt>
                <c:pt idx="38">
                  <c:v>50.680517705699366</c:v>
                </c:pt>
                <c:pt idx="39">
                  <c:v>48.247363295140353</c:v>
                </c:pt>
                <c:pt idx="40">
                  <c:v>45.523118747291704</c:v>
                </c:pt>
                <c:pt idx="41">
                  <c:v>44.498987091381039</c:v>
                </c:pt>
                <c:pt idx="42">
                  <c:v>44.632954711383654</c:v>
                </c:pt>
                <c:pt idx="43">
                  <c:v>44.934913473929242</c:v>
                </c:pt>
                <c:pt idx="44">
                  <c:v>45.591283929603442</c:v>
                </c:pt>
                <c:pt idx="45">
                  <c:v>45.660630484225607</c:v>
                </c:pt>
                <c:pt idx="46">
                  <c:v>45.431089844309305</c:v>
                </c:pt>
                <c:pt idx="47">
                  <c:v>44.432086371316046</c:v>
                </c:pt>
                <c:pt idx="48">
                  <c:v>45.476041503359831</c:v>
                </c:pt>
                <c:pt idx="49">
                  <c:v>45.367550494946968</c:v>
                </c:pt>
                <c:pt idx="50">
                  <c:v>44.506113547598886</c:v>
                </c:pt>
                <c:pt idx="51">
                  <c:v>43.972253904441409</c:v>
                </c:pt>
                <c:pt idx="52">
                  <c:v>43.648411585413179</c:v>
                </c:pt>
                <c:pt idx="53">
                  <c:v>43.60725449819715</c:v>
                </c:pt>
                <c:pt idx="54">
                  <c:v>43.564584582466289</c:v>
                </c:pt>
                <c:pt idx="55">
                  <c:v>44.519520649064638</c:v>
                </c:pt>
                <c:pt idx="56">
                  <c:v>45.12035809158845</c:v>
                </c:pt>
                <c:pt idx="57">
                  <c:v>45.666919524476917</c:v>
                </c:pt>
                <c:pt idx="58">
                  <c:v>46.512136062617977</c:v>
                </c:pt>
                <c:pt idx="59">
                  <c:v>47.280806021198224</c:v>
                </c:pt>
                <c:pt idx="60">
                  <c:v>50.865369923264147</c:v>
                </c:pt>
                <c:pt idx="61">
                  <c:v>53.254360755395027</c:v>
                </c:pt>
                <c:pt idx="62">
                  <c:v>54.884571182263457</c:v>
                </c:pt>
                <c:pt idx="63">
                  <c:v>55.742365801959998</c:v>
                </c:pt>
                <c:pt idx="64">
                  <c:v>55.425844746438436</c:v>
                </c:pt>
                <c:pt idx="65">
                  <c:v>55.475591633629485</c:v>
                </c:pt>
                <c:pt idx="66">
                  <c:v>56.291476626805107</c:v>
                </c:pt>
                <c:pt idx="67">
                  <c:v>56.867927354580239</c:v>
                </c:pt>
                <c:pt idx="68">
                  <c:v>57.801168001297221</c:v>
                </c:pt>
                <c:pt idx="69">
                  <c:v>58.527845045780779</c:v>
                </c:pt>
                <c:pt idx="70">
                  <c:v>59.100117429288339</c:v>
                </c:pt>
                <c:pt idx="71">
                  <c:v>59.148380498534927</c:v>
                </c:pt>
                <c:pt idx="72">
                  <c:v>63.162212853423824</c:v>
                </c:pt>
                <c:pt idx="73">
                  <c:v>63.221041015593229</c:v>
                </c:pt>
                <c:pt idx="74">
                  <c:v>64.436679851627247</c:v>
                </c:pt>
                <c:pt idx="75">
                  <c:v>64.361648087646515</c:v>
                </c:pt>
                <c:pt idx="76">
                  <c:v>63.211840419107588</c:v>
                </c:pt>
                <c:pt idx="77">
                  <c:v>62.192383707207902</c:v>
                </c:pt>
                <c:pt idx="78">
                  <c:v>61.76662224576453</c:v>
                </c:pt>
                <c:pt idx="79">
                  <c:v>61.960900184661497</c:v>
                </c:pt>
                <c:pt idx="80">
                  <c:v>62.583606608004843</c:v>
                </c:pt>
                <c:pt idx="81">
                  <c:v>61.910759027080722</c:v>
                </c:pt>
                <c:pt idx="82">
                  <c:v>61.410060249282715</c:v>
                </c:pt>
                <c:pt idx="83">
                  <c:v>60.782928850764584</c:v>
                </c:pt>
                <c:pt idx="84">
                  <c:v>62.434853469469019</c:v>
                </c:pt>
                <c:pt idx="85">
                  <c:v>62.121853739801288</c:v>
                </c:pt>
                <c:pt idx="86">
                  <c:v>61.635622391637582</c:v>
                </c:pt>
                <c:pt idx="87">
                  <c:v>60.47418219990022</c:v>
                </c:pt>
                <c:pt idx="88">
                  <c:v>59.180185608896899</c:v>
                </c:pt>
                <c:pt idx="89">
                  <c:v>57.818520100353069</c:v>
                </c:pt>
                <c:pt idx="90">
                  <c:v>58.475493191922148</c:v>
                </c:pt>
                <c:pt idx="91">
                  <c:v>59.536843119916533</c:v>
                </c:pt>
                <c:pt idx="92">
                  <c:v>61.911657699814214</c:v>
                </c:pt>
                <c:pt idx="93">
                  <c:v>63.31327166461034</c:v>
                </c:pt>
                <c:pt idx="94">
                  <c:v>65.030059062152816</c:v>
                </c:pt>
                <c:pt idx="95">
                  <c:v>67.444485373101628</c:v>
                </c:pt>
                <c:pt idx="96">
                  <c:v>71.055626797325147</c:v>
                </c:pt>
                <c:pt idx="97">
                  <c:v>72.152523389348545</c:v>
                </c:pt>
                <c:pt idx="98">
                  <c:v>73.66337419935364</c:v>
                </c:pt>
                <c:pt idx="99">
                  <c:v>73.041715855916777</c:v>
                </c:pt>
                <c:pt idx="100">
                  <c:v>71.410618636498967</c:v>
                </c:pt>
                <c:pt idx="101">
                  <c:v>72.02145816949573</c:v>
                </c:pt>
                <c:pt idx="102">
                  <c:v>73.06735404781945</c:v>
                </c:pt>
                <c:pt idx="103">
                  <c:v>75.22920682187268</c:v>
                </c:pt>
                <c:pt idx="104">
                  <c:v>76.381773668352722</c:v>
                </c:pt>
                <c:pt idx="105">
                  <c:v>77.575487579768563</c:v>
                </c:pt>
                <c:pt idx="106">
                  <c:v>77.854438587136485</c:v>
                </c:pt>
                <c:pt idx="107">
                  <c:v>79.352050551973861</c:v>
                </c:pt>
                <c:pt idx="108">
                  <c:v>82.590200098234675</c:v>
                </c:pt>
                <c:pt idx="109">
                  <c:v>82.464381705982277</c:v>
                </c:pt>
                <c:pt idx="110">
                  <c:v>81.869710649416746</c:v>
                </c:pt>
                <c:pt idx="111">
                  <c:v>81.191983007115965</c:v>
                </c:pt>
                <c:pt idx="112">
                  <c:v>78.292286110789036</c:v>
                </c:pt>
                <c:pt idx="113">
                  <c:v>76.826401985181619</c:v>
                </c:pt>
                <c:pt idx="114">
                  <c:v>76.783405223683602</c:v>
                </c:pt>
                <c:pt idx="115">
                  <c:v>77.64968423812735</c:v>
                </c:pt>
                <c:pt idx="116">
                  <c:v>77.865490388050475</c:v>
                </c:pt>
                <c:pt idx="117">
                  <c:v>77.431880970866885</c:v>
                </c:pt>
                <c:pt idx="118">
                  <c:v>77.076159129839539</c:v>
                </c:pt>
                <c:pt idx="119">
                  <c:v>76.897123434421545</c:v>
                </c:pt>
              </c:numCache>
            </c:numRef>
          </c:val>
        </c:ser>
        <c:ser>
          <c:idx val="0"/>
          <c:order val="1"/>
          <c:tx>
            <c:strRef>
              <c:f>AUX!$A$119</c:f>
              <c:strCache>
                <c:ptCount val="1"/>
                <c:pt idx="0">
                  <c:v>0</c:v>
                </c:pt>
              </c:strCache>
            </c:strRef>
          </c:tx>
          <c:spPr>
            <a:ln w="19050">
              <a:solidFill>
                <a:srgbClr val="17375E"/>
              </a:solidFill>
            </a:ln>
          </c:spPr>
          <c:marker>
            <c:symbol val="none"/>
          </c:marker>
          <c:cat>
            <c:numRef>
              <c:f>AUX!$B$117:$DQ$117</c:f>
              <c:numCache>
                <c:formatCode>mmm/yy</c:formatCode>
                <c:ptCount val="120"/>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numCache>
            </c:numRef>
          </c:cat>
          <c:val>
            <c:numRef>
              <c:f>AUX!$B$119:$DQ$119</c:f>
              <c:numCache>
                <c:formatCode>0.0</c:formatCode>
                <c:ptCount val="120"/>
              </c:numCache>
            </c:numRef>
          </c:val>
        </c:ser>
        <c:ser>
          <c:idx val="1"/>
          <c:order val="2"/>
          <c:tx>
            <c:strRef>
              <c:f>AUX!$A$120</c:f>
              <c:strCache>
                <c:ptCount val="1"/>
                <c:pt idx="0">
                  <c:v>0</c:v>
                </c:pt>
              </c:strCache>
            </c:strRef>
          </c:tx>
          <c:spPr>
            <a:ln w="38100">
              <a:solidFill>
                <a:srgbClr val="008080"/>
              </a:solidFill>
            </a:ln>
          </c:spPr>
          <c:marker>
            <c:symbol val="none"/>
          </c:marker>
          <c:cat>
            <c:numRef>
              <c:f>AUX!$B$117:$DQ$117</c:f>
              <c:numCache>
                <c:formatCode>mmm/yy</c:formatCode>
                <c:ptCount val="120"/>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numCache>
            </c:numRef>
          </c:cat>
          <c:val>
            <c:numRef>
              <c:f>AUX!$B$120:$DQ$120</c:f>
              <c:numCache>
                <c:formatCode>0.0</c:formatCode>
                <c:ptCount val="120"/>
              </c:numCache>
            </c:numRef>
          </c:val>
        </c:ser>
        <c:marker val="1"/>
        <c:axId val="274170240"/>
        <c:axId val="274171776"/>
      </c:lineChart>
      <c:dateAx>
        <c:axId val="274170240"/>
        <c:scaling>
          <c:orientation val="minMax"/>
        </c:scaling>
        <c:axPos val="b"/>
        <c:numFmt formatCode="mmm/yy" sourceLinked="1"/>
        <c:tickLblPos val="low"/>
        <c:txPr>
          <a:bodyPr rot="-5400000" vert="horz"/>
          <a:lstStyle/>
          <a:p>
            <a:pPr>
              <a:defRPr lang="en-US" sz="900">
                <a:latin typeface="Arial" pitchFamily="34" charset="0"/>
                <a:cs typeface="Arial" pitchFamily="34" charset="0"/>
              </a:defRPr>
            </a:pPr>
            <a:endParaRPr lang="pt-PT"/>
          </a:p>
        </c:txPr>
        <c:crossAx val="274171776"/>
        <c:crosses val="autoZero"/>
        <c:auto val="1"/>
        <c:lblOffset val="100"/>
        <c:baseTimeUnit val="months"/>
        <c:majorUnit val="6"/>
        <c:majorTimeUnit val="months"/>
      </c:dateAx>
      <c:valAx>
        <c:axId val="274171776"/>
        <c:scaling>
          <c:orientation val="minMax"/>
        </c:scaling>
        <c:axPos val="l"/>
        <c:majorGridlines>
          <c:spPr>
            <a:ln>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Desempregados inscritos no IEFP por 1000 hab (15+ anos)</a:t>
                </a:r>
              </a:p>
            </c:rich>
          </c:tx>
          <c:layout>
            <c:manualLayout>
              <c:xMode val="edge"/>
              <c:yMode val="edge"/>
              <c:x val="1.1958568738229761E-2"/>
              <c:y val="3.5990849673202617E-2"/>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170240"/>
        <c:crosses val="autoZero"/>
        <c:crossBetween val="between"/>
      </c:valAx>
    </c:plotArea>
    <c:legend>
      <c:legendPos val="b"/>
      <c:spPr>
        <a:ln>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8.8541083099906701E-2"/>
          <c:y val="7.565856481481481E-2"/>
          <c:w val="0.89070728291316525"/>
          <c:h val="0.7164864969136"/>
        </c:manualLayout>
      </c:layout>
      <c:lineChart>
        <c:grouping val="standard"/>
        <c:ser>
          <c:idx val="1"/>
          <c:order val="0"/>
          <c:tx>
            <c:strRef>
              <c:f>AUX!$A$210</c:f>
              <c:strCache>
                <c:ptCount val="1"/>
                <c:pt idx="0">
                  <c:v>Continente</c:v>
                </c:pt>
              </c:strCache>
            </c:strRef>
          </c:tx>
          <c:spPr>
            <a:ln w="19050">
              <a:solidFill>
                <a:srgbClr val="FF0000"/>
              </a:solidFill>
            </a:ln>
          </c:spPr>
          <c:marker>
            <c:symbol val="none"/>
          </c:marker>
          <c:cat>
            <c:strRef>
              <c:f>AUX!$B$209:$P$209</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AUX!$B$210:$P$210</c:f>
              <c:numCache>
                <c:formatCode>0.0</c:formatCode>
                <c:ptCount val="15"/>
                <c:pt idx="0">
                  <c:v>6.6005100623690121</c:v>
                </c:pt>
                <c:pt idx="1">
                  <c:v>6.3397377665198098</c:v>
                </c:pt>
                <c:pt idx="2">
                  <c:v>6.1570719392151858</c:v>
                </c:pt>
                <c:pt idx="3">
                  <c:v>5.9997934248339799</c:v>
                </c:pt>
                <c:pt idx="4">
                  <c:v>5.8386104412038211</c:v>
                </c:pt>
                <c:pt idx="5">
                  <c:v>5.5742701065430982</c:v>
                </c:pt>
                <c:pt idx="6">
                  <c:v>5.3239669785637629</c:v>
                </c:pt>
                <c:pt idx="7">
                  <c:v>5.0479133182728839</c:v>
                </c:pt>
                <c:pt idx="8">
                  <c:v>4.7920976889590854</c:v>
                </c:pt>
                <c:pt idx="9">
                  <c:v>4.5957781495577521</c:v>
                </c:pt>
                <c:pt idx="10">
                  <c:v>4.3757926241566478</c:v>
                </c:pt>
                <c:pt idx="11">
                  <c:v>4.2810000482249766</c:v>
                </c:pt>
                <c:pt idx="12">
                  <c:v>4.0706148925440573</c:v>
                </c:pt>
                <c:pt idx="13">
                  <c:v>3.8928543581964714</c:v>
                </c:pt>
                <c:pt idx="14">
                  <c:v>3.7006663249615581</c:v>
                </c:pt>
              </c:numCache>
            </c:numRef>
          </c:val>
        </c:ser>
        <c:ser>
          <c:idx val="2"/>
          <c:order val="1"/>
          <c:tx>
            <c:strRef>
              <c:f>AUX!$A$211</c:f>
              <c:strCache>
                <c:ptCount val="1"/>
                <c:pt idx="0">
                  <c:v>0</c:v>
                </c:pt>
              </c:strCache>
            </c:strRef>
          </c:tx>
          <c:spPr>
            <a:ln w="19050">
              <a:solidFill>
                <a:schemeClr val="tx2"/>
              </a:solidFill>
            </a:ln>
          </c:spPr>
          <c:marker>
            <c:symbol val="none"/>
          </c:marker>
          <c:cat>
            <c:strRef>
              <c:f>AUX!$B$209:$P$209</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AUX!$B$211:$P$211</c:f>
              <c:numCache>
                <c:formatCode>0.0</c:formatCode>
                <c:ptCount val="15"/>
              </c:numCache>
            </c:numRef>
          </c:val>
        </c:ser>
        <c:ser>
          <c:idx val="3"/>
          <c:order val="2"/>
          <c:tx>
            <c:strRef>
              <c:f>AUX!$A$212</c:f>
              <c:strCache>
                <c:ptCount val="1"/>
                <c:pt idx="0">
                  <c:v>0</c:v>
                </c:pt>
              </c:strCache>
            </c:strRef>
          </c:tx>
          <c:spPr>
            <a:ln w="38100">
              <a:solidFill>
                <a:srgbClr val="008080"/>
              </a:solidFill>
            </a:ln>
          </c:spPr>
          <c:marker>
            <c:symbol val="none"/>
          </c:marker>
          <c:cat>
            <c:strRef>
              <c:f>AUX!$B$209:$P$209</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AUX!$B$212:$P$212</c:f>
              <c:numCache>
                <c:formatCode>0.0</c:formatCode>
                <c:ptCount val="15"/>
              </c:numCache>
            </c:numRef>
          </c:val>
        </c:ser>
        <c:marker val="1"/>
        <c:axId val="274222464"/>
        <c:axId val="274240640"/>
      </c:lineChart>
      <c:catAx>
        <c:axId val="274222464"/>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74240640"/>
        <c:crosses val="autoZero"/>
        <c:auto val="1"/>
        <c:lblAlgn val="ctr"/>
        <c:lblOffset val="100"/>
        <c:tickLblSkip val="2"/>
        <c:tickMarkSkip val="1"/>
      </c:catAx>
      <c:valAx>
        <c:axId val="274240640"/>
        <c:scaling>
          <c:orientation val="minMax"/>
        </c:scaling>
        <c:axPos val="l"/>
        <c:majorGridlines>
          <c:spPr>
            <a:ln w="3175">
              <a:solidFill>
                <a:schemeClr val="bg1">
                  <a:lumMod val="95000"/>
                </a:schemeClr>
              </a:solidFill>
            </a:ln>
          </c:spPr>
        </c:majorGridlines>
        <c:title>
          <c:tx>
            <c:rich>
              <a:bodyPr rot="0" vert="horz"/>
              <a:lstStyle/>
              <a:p>
                <a:pPr>
                  <a:defRPr lang="en-US" sz="900" b="0">
                    <a:latin typeface="Arial" pitchFamily="34" charset="0"/>
                    <a:cs typeface="Arial" pitchFamily="34" charset="0"/>
                  </a:defRPr>
                </a:pPr>
                <a:r>
                  <a:rPr lang="en-US" sz="900" b="0">
                    <a:latin typeface="Arial" pitchFamily="34" charset="0"/>
                    <a:cs typeface="Arial" pitchFamily="34" charset="0"/>
                  </a:rPr>
                  <a:t>%</a:t>
                </a:r>
              </a:p>
            </c:rich>
          </c:tx>
          <c:layout>
            <c:manualLayout>
              <c:xMode val="edge"/>
              <c:yMode val="edge"/>
              <c:x val="2.6548672566373077E-3"/>
              <c:y val="6.2932098765432183E-3"/>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222464"/>
        <c:crosses val="autoZero"/>
        <c:crossBetween val="between"/>
      </c:valAx>
    </c:plotArea>
    <c:legend>
      <c:legendPos val="b"/>
      <c:layout>
        <c:manualLayout>
          <c:xMode val="edge"/>
          <c:yMode val="edge"/>
          <c:x val="1.4246498599439775E-2"/>
          <c:y val="0.92349344506743858"/>
          <c:w val="0.97150676937441638"/>
          <c:h val="5.9385594042128127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9.7144326299744718E-2"/>
          <c:y val="7.565856481481481E-2"/>
          <c:w val="0.88210407752251185"/>
          <c:h val="0.7164864969136"/>
        </c:manualLayout>
      </c:layout>
      <c:lineChart>
        <c:grouping val="standard"/>
        <c:ser>
          <c:idx val="1"/>
          <c:order val="0"/>
          <c:tx>
            <c:strRef>
              <c:f>AUX!$A$216</c:f>
              <c:strCache>
                <c:ptCount val="1"/>
                <c:pt idx="0">
                  <c:v>Continente</c:v>
                </c:pt>
              </c:strCache>
            </c:strRef>
          </c:tx>
          <c:spPr>
            <a:ln w="19050">
              <a:solidFill>
                <a:srgbClr val="FF0000"/>
              </a:solidFill>
            </a:ln>
          </c:spPr>
          <c:marker>
            <c:symbol val="none"/>
          </c:marker>
          <c:cat>
            <c:strRef>
              <c:f>AUX!$B$215:$P$215</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AUX!$B$216:$P$216</c:f>
              <c:numCache>
                <c:formatCode>0.0</c:formatCode>
                <c:ptCount val="15"/>
                <c:pt idx="0">
                  <c:v>11.02852056662374</c:v>
                </c:pt>
                <c:pt idx="1">
                  <c:v>11.798646356852082</c:v>
                </c:pt>
                <c:pt idx="2">
                  <c:v>12.542026241367173</c:v>
                </c:pt>
                <c:pt idx="3">
                  <c:v>13.286124832157679</c:v>
                </c:pt>
                <c:pt idx="4">
                  <c:v>13.845586284905897</c:v>
                </c:pt>
                <c:pt idx="5">
                  <c:v>14.458886330137144</c:v>
                </c:pt>
                <c:pt idx="6">
                  <c:v>15.038412755363781</c:v>
                </c:pt>
                <c:pt idx="7">
                  <c:v>15.711222804119362</c:v>
                </c:pt>
                <c:pt idx="8">
                  <c:v>16.519276078344351</c:v>
                </c:pt>
                <c:pt idx="9">
                  <c:v>17.424297969059317</c:v>
                </c:pt>
                <c:pt idx="10">
                  <c:v>18.401393327584167</c:v>
                </c:pt>
                <c:pt idx="11">
                  <c:v>19.432598706192774</c:v>
                </c:pt>
                <c:pt idx="12">
                  <c:v>20.605566570183136</c:v>
                </c:pt>
                <c:pt idx="13">
                  <c:v>22.210605405482035</c:v>
                </c:pt>
                <c:pt idx="14">
                  <c:v>23.650142783920334</c:v>
                </c:pt>
              </c:numCache>
            </c:numRef>
          </c:val>
        </c:ser>
        <c:ser>
          <c:idx val="2"/>
          <c:order val="1"/>
          <c:tx>
            <c:strRef>
              <c:f>AUX!$A$217</c:f>
              <c:strCache>
                <c:ptCount val="1"/>
                <c:pt idx="0">
                  <c:v>0</c:v>
                </c:pt>
              </c:strCache>
            </c:strRef>
          </c:tx>
          <c:spPr>
            <a:ln w="19050">
              <a:solidFill>
                <a:schemeClr val="tx2"/>
              </a:solidFill>
            </a:ln>
          </c:spPr>
          <c:marker>
            <c:symbol val="none"/>
          </c:marker>
          <c:cat>
            <c:strRef>
              <c:f>AUX!$B$215:$P$215</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AUX!$B$217:$P$217</c:f>
              <c:numCache>
                <c:formatCode>0.0</c:formatCode>
                <c:ptCount val="15"/>
              </c:numCache>
            </c:numRef>
          </c:val>
        </c:ser>
        <c:ser>
          <c:idx val="3"/>
          <c:order val="2"/>
          <c:tx>
            <c:strRef>
              <c:f>AUX!$A$218</c:f>
              <c:strCache>
                <c:ptCount val="1"/>
                <c:pt idx="0">
                  <c:v>0</c:v>
                </c:pt>
              </c:strCache>
            </c:strRef>
          </c:tx>
          <c:spPr>
            <a:ln w="38100">
              <a:solidFill>
                <a:srgbClr val="008080"/>
              </a:solidFill>
            </a:ln>
          </c:spPr>
          <c:marker>
            <c:symbol val="none"/>
          </c:marker>
          <c:cat>
            <c:strRef>
              <c:f>AUX!$B$215:$P$215</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AUX!$B$218:$P$218</c:f>
              <c:numCache>
                <c:formatCode>0.0</c:formatCode>
                <c:ptCount val="15"/>
              </c:numCache>
            </c:numRef>
          </c:val>
        </c:ser>
        <c:marker val="1"/>
        <c:axId val="274278656"/>
        <c:axId val="274284544"/>
      </c:lineChart>
      <c:catAx>
        <c:axId val="274278656"/>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74284544"/>
        <c:crosses val="autoZero"/>
        <c:auto val="1"/>
        <c:lblAlgn val="ctr"/>
        <c:lblOffset val="100"/>
        <c:tickLblSkip val="2"/>
        <c:tickMarkSkip val="1"/>
      </c:catAx>
      <c:valAx>
        <c:axId val="274284544"/>
        <c:scaling>
          <c:orientation val="minMax"/>
        </c:scaling>
        <c:axPos val="l"/>
        <c:majorGridlines>
          <c:spPr>
            <a:ln w="3175">
              <a:solidFill>
                <a:schemeClr val="bg1">
                  <a:lumMod val="95000"/>
                </a:schemeClr>
              </a:solidFill>
            </a:ln>
          </c:spPr>
        </c:majorGridlines>
        <c:title>
          <c:tx>
            <c:rich>
              <a:bodyPr rot="0" vert="horz"/>
              <a:lstStyle/>
              <a:p>
                <a:pPr>
                  <a:defRPr lang="en-US" sz="900" b="0">
                    <a:latin typeface="Arial" pitchFamily="34" charset="0"/>
                    <a:cs typeface="Arial" pitchFamily="34" charset="0"/>
                  </a:defRPr>
                </a:pPr>
                <a:r>
                  <a:rPr lang="en-US" sz="900" b="0">
                    <a:latin typeface="Arial" pitchFamily="34" charset="0"/>
                    <a:cs typeface="Arial" pitchFamily="34" charset="0"/>
                  </a:rPr>
                  <a:t>%</a:t>
                </a:r>
              </a:p>
            </c:rich>
          </c:tx>
          <c:layout>
            <c:manualLayout>
              <c:xMode val="edge"/>
              <c:yMode val="edge"/>
              <c:x val="2.6548672566373099E-3"/>
              <c:y val="6.2932098765432183E-3"/>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278656"/>
        <c:crosses val="autoZero"/>
        <c:crossBetween val="between"/>
      </c:valAx>
    </c:plotArea>
    <c:legend>
      <c:legendPos val="b"/>
      <c:layout>
        <c:manualLayout>
          <c:xMode val="edge"/>
          <c:yMode val="edge"/>
          <c:x val="1.4246498599439775E-2"/>
          <c:y val="0.92349344506743858"/>
          <c:w val="0.97150676937441638"/>
          <c:h val="5.9385594042128176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5.5427966101694918E-2"/>
          <c:y val="3.3968026723932183E-2"/>
          <c:w val="0.82810569679853241"/>
          <c:h val="0.74672142857146351"/>
        </c:manualLayout>
      </c:layout>
      <c:barChart>
        <c:barDir val="bar"/>
        <c:grouping val="clustered"/>
        <c:ser>
          <c:idx val="3"/>
          <c:order val="0"/>
          <c:tx>
            <c:strRef>
              <c:f>AUX!$K$22</c:f>
              <c:strCache>
                <c:ptCount val="1"/>
                <c:pt idx="0">
                  <c:v>Mulheres (2012)</c:v>
                </c:pt>
              </c:strCache>
            </c:strRef>
          </c:tx>
          <c:spPr>
            <a:solidFill>
              <a:srgbClr val="008080"/>
            </a:solidFill>
            <a:ln w="15875">
              <a:solidFill>
                <a:srgbClr val="008080"/>
              </a:solidFill>
            </a:ln>
          </c:spPr>
          <c:cat>
            <c:strRef>
              <c:f>AUX!$A$23:$A$40</c:f>
              <c:strCache>
                <c:ptCount val="18"/>
                <c:pt idx="0">
                  <c:v>00 - 04 </c:v>
                </c:pt>
                <c:pt idx="1">
                  <c:v>05 - 09</c:v>
                </c:pt>
                <c:pt idx="2">
                  <c:v>10 - 14</c:v>
                </c:pt>
                <c:pt idx="3">
                  <c:v>15 - 19 </c:v>
                </c:pt>
                <c:pt idx="4">
                  <c:v>20 - 24 </c:v>
                </c:pt>
                <c:pt idx="5">
                  <c:v>25 - 29 </c:v>
                </c:pt>
                <c:pt idx="6">
                  <c:v>30 - 34 </c:v>
                </c:pt>
                <c:pt idx="7">
                  <c:v>35 - 39 </c:v>
                </c:pt>
                <c:pt idx="8">
                  <c:v>40 - 44 </c:v>
                </c:pt>
                <c:pt idx="9">
                  <c:v>45 - 49 </c:v>
                </c:pt>
                <c:pt idx="10">
                  <c:v>50 - 54 </c:v>
                </c:pt>
                <c:pt idx="11">
                  <c:v>55 - 59 </c:v>
                </c:pt>
                <c:pt idx="12">
                  <c:v>60 - 64 </c:v>
                </c:pt>
                <c:pt idx="13">
                  <c:v>65 - 69 </c:v>
                </c:pt>
                <c:pt idx="14">
                  <c:v>70 - 74 </c:v>
                </c:pt>
                <c:pt idx="15">
                  <c:v>75 - 79 </c:v>
                </c:pt>
                <c:pt idx="16">
                  <c:v>80 - 84 </c:v>
                </c:pt>
                <c:pt idx="17">
                  <c:v>85+</c:v>
                </c:pt>
              </c:strCache>
            </c:strRef>
          </c:cat>
          <c:val>
            <c:numRef>
              <c:f>AUX!$K$23:$K$40</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ser>
          <c:idx val="1"/>
          <c:order val="1"/>
          <c:tx>
            <c:strRef>
              <c:f>AUX!$J$22</c:f>
              <c:strCache>
                <c:ptCount val="1"/>
                <c:pt idx="0">
                  <c:v>Homens (2012)</c:v>
                </c:pt>
              </c:strCache>
            </c:strRef>
          </c:tx>
          <c:spPr>
            <a:solidFill>
              <a:schemeClr val="accent3">
                <a:lumMod val="40000"/>
                <a:lumOff val="60000"/>
              </a:schemeClr>
            </a:solidFill>
            <a:ln w="12700">
              <a:solidFill>
                <a:schemeClr val="accent3">
                  <a:lumMod val="20000"/>
                  <a:lumOff val="80000"/>
                </a:schemeClr>
              </a:solidFill>
            </a:ln>
          </c:spPr>
          <c:cat>
            <c:strRef>
              <c:f>AUX!$A$23:$A$40</c:f>
              <c:strCache>
                <c:ptCount val="18"/>
                <c:pt idx="0">
                  <c:v>00 - 04 </c:v>
                </c:pt>
                <c:pt idx="1">
                  <c:v>05 - 09</c:v>
                </c:pt>
                <c:pt idx="2">
                  <c:v>10 - 14</c:v>
                </c:pt>
                <c:pt idx="3">
                  <c:v>15 - 19 </c:v>
                </c:pt>
                <c:pt idx="4">
                  <c:v>20 - 24 </c:v>
                </c:pt>
                <c:pt idx="5">
                  <c:v>25 - 29 </c:v>
                </c:pt>
                <c:pt idx="6">
                  <c:v>30 - 34 </c:v>
                </c:pt>
                <c:pt idx="7">
                  <c:v>35 - 39 </c:v>
                </c:pt>
                <c:pt idx="8">
                  <c:v>40 - 44 </c:v>
                </c:pt>
                <c:pt idx="9">
                  <c:v>45 - 49 </c:v>
                </c:pt>
                <c:pt idx="10">
                  <c:v>50 - 54 </c:v>
                </c:pt>
                <c:pt idx="11">
                  <c:v>55 - 59 </c:v>
                </c:pt>
                <c:pt idx="12">
                  <c:v>60 - 64 </c:v>
                </c:pt>
                <c:pt idx="13">
                  <c:v>65 - 69 </c:v>
                </c:pt>
                <c:pt idx="14">
                  <c:v>70 - 74 </c:v>
                </c:pt>
                <c:pt idx="15">
                  <c:v>75 - 79 </c:v>
                </c:pt>
                <c:pt idx="16">
                  <c:v>80 - 84 </c:v>
                </c:pt>
                <c:pt idx="17">
                  <c:v>85+</c:v>
                </c:pt>
              </c:strCache>
            </c:strRef>
          </c:cat>
          <c:val>
            <c:numRef>
              <c:f>AUX!$J$23:$J$40</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ser>
          <c:idx val="0"/>
          <c:order val="2"/>
          <c:tx>
            <c:strRef>
              <c:f>AUX!$I$22</c:f>
              <c:strCache>
                <c:ptCount val="1"/>
                <c:pt idx="0">
                  <c:v>Mulheres (1991)</c:v>
                </c:pt>
              </c:strCache>
            </c:strRef>
          </c:tx>
          <c:spPr>
            <a:noFill/>
            <a:ln w="25400">
              <a:solidFill>
                <a:schemeClr val="accent2">
                  <a:lumMod val="60000"/>
                  <a:lumOff val="40000"/>
                </a:schemeClr>
              </a:solidFill>
            </a:ln>
          </c:spPr>
          <c:cat>
            <c:strRef>
              <c:f>AUX!$A$23:$A$40</c:f>
              <c:strCache>
                <c:ptCount val="18"/>
                <c:pt idx="0">
                  <c:v>00 - 04 </c:v>
                </c:pt>
                <c:pt idx="1">
                  <c:v>05 - 09</c:v>
                </c:pt>
                <c:pt idx="2">
                  <c:v>10 - 14</c:v>
                </c:pt>
                <c:pt idx="3">
                  <c:v>15 - 19 </c:v>
                </c:pt>
                <c:pt idx="4">
                  <c:v>20 - 24 </c:v>
                </c:pt>
                <c:pt idx="5">
                  <c:v>25 - 29 </c:v>
                </c:pt>
                <c:pt idx="6">
                  <c:v>30 - 34 </c:v>
                </c:pt>
                <c:pt idx="7">
                  <c:v>35 - 39 </c:v>
                </c:pt>
                <c:pt idx="8">
                  <c:v>40 - 44 </c:v>
                </c:pt>
                <c:pt idx="9">
                  <c:v>45 - 49 </c:v>
                </c:pt>
                <c:pt idx="10">
                  <c:v>50 - 54 </c:v>
                </c:pt>
                <c:pt idx="11">
                  <c:v>55 - 59 </c:v>
                </c:pt>
                <c:pt idx="12">
                  <c:v>60 - 64 </c:v>
                </c:pt>
                <c:pt idx="13">
                  <c:v>65 - 69 </c:v>
                </c:pt>
                <c:pt idx="14">
                  <c:v>70 - 74 </c:v>
                </c:pt>
                <c:pt idx="15">
                  <c:v>75 - 79 </c:v>
                </c:pt>
                <c:pt idx="16">
                  <c:v>80 - 84 </c:v>
                </c:pt>
                <c:pt idx="17">
                  <c:v>85+</c:v>
                </c:pt>
              </c:strCache>
            </c:strRef>
          </c:cat>
          <c:val>
            <c:numRef>
              <c:f>AUX!$I$23:$I$40</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ser>
          <c:idx val="2"/>
          <c:order val="3"/>
          <c:tx>
            <c:strRef>
              <c:f>AUX!$H$22</c:f>
              <c:strCache>
                <c:ptCount val="1"/>
                <c:pt idx="0">
                  <c:v>Homens (1991)</c:v>
                </c:pt>
              </c:strCache>
            </c:strRef>
          </c:tx>
          <c:spPr>
            <a:noFill/>
            <a:ln w="25400">
              <a:solidFill>
                <a:schemeClr val="tx2">
                  <a:lumMod val="60000"/>
                  <a:lumOff val="40000"/>
                </a:schemeClr>
              </a:solidFill>
            </a:ln>
          </c:spPr>
          <c:cat>
            <c:strRef>
              <c:f>AUX!$A$23:$A$40</c:f>
              <c:strCache>
                <c:ptCount val="18"/>
                <c:pt idx="0">
                  <c:v>00 - 04 </c:v>
                </c:pt>
                <c:pt idx="1">
                  <c:v>05 - 09</c:v>
                </c:pt>
                <c:pt idx="2">
                  <c:v>10 - 14</c:v>
                </c:pt>
                <c:pt idx="3">
                  <c:v>15 - 19 </c:v>
                </c:pt>
                <c:pt idx="4">
                  <c:v>20 - 24 </c:v>
                </c:pt>
                <c:pt idx="5">
                  <c:v>25 - 29 </c:v>
                </c:pt>
                <c:pt idx="6">
                  <c:v>30 - 34 </c:v>
                </c:pt>
                <c:pt idx="7">
                  <c:v>35 - 39 </c:v>
                </c:pt>
                <c:pt idx="8">
                  <c:v>40 - 44 </c:v>
                </c:pt>
                <c:pt idx="9">
                  <c:v>45 - 49 </c:v>
                </c:pt>
                <c:pt idx="10">
                  <c:v>50 - 54 </c:v>
                </c:pt>
                <c:pt idx="11">
                  <c:v>55 - 59 </c:v>
                </c:pt>
                <c:pt idx="12">
                  <c:v>60 - 64 </c:v>
                </c:pt>
                <c:pt idx="13">
                  <c:v>65 - 69 </c:v>
                </c:pt>
                <c:pt idx="14">
                  <c:v>70 - 74 </c:v>
                </c:pt>
                <c:pt idx="15">
                  <c:v>75 - 79 </c:v>
                </c:pt>
                <c:pt idx="16">
                  <c:v>80 - 84 </c:v>
                </c:pt>
                <c:pt idx="17">
                  <c:v>85+</c:v>
                </c:pt>
              </c:strCache>
            </c:strRef>
          </c:cat>
          <c:val>
            <c:numRef>
              <c:f>AUX!$H$23:$H$40</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gapWidth val="0"/>
        <c:overlap val="100"/>
        <c:axId val="279552384"/>
        <c:axId val="279553920"/>
      </c:barChart>
      <c:catAx>
        <c:axId val="279552384"/>
        <c:scaling>
          <c:orientation val="minMax"/>
        </c:scaling>
        <c:axPos val="l"/>
        <c:numFmt formatCode="General" sourceLinked="1"/>
        <c:majorTickMark val="none"/>
        <c:tickLblPos val="high"/>
        <c:txPr>
          <a:bodyPr rot="0" vert="horz"/>
          <a:lstStyle/>
          <a:p>
            <a:pPr>
              <a:defRPr lang="en-US" sz="800" b="0" i="0" u="none" strike="noStrike" baseline="0">
                <a:solidFill>
                  <a:srgbClr val="333333"/>
                </a:solidFill>
                <a:latin typeface="Arial" pitchFamily="34" charset="0"/>
                <a:ea typeface="Calibri"/>
                <a:cs typeface="Arial" pitchFamily="34" charset="0"/>
              </a:defRPr>
            </a:pPr>
            <a:endParaRPr lang="pt-PT"/>
          </a:p>
        </c:txPr>
        <c:crossAx val="279553920"/>
        <c:crosses val="autoZero"/>
        <c:auto val="1"/>
        <c:lblAlgn val="ctr"/>
        <c:lblOffset val="0"/>
        <c:tickLblSkip val="1"/>
      </c:catAx>
      <c:valAx>
        <c:axId val="279553920"/>
        <c:scaling>
          <c:orientation val="minMax"/>
        </c:scaling>
        <c:axPos val="b"/>
        <c:majorGridlines>
          <c:spPr>
            <a:ln w="3175">
              <a:solidFill>
                <a:schemeClr val="bg1">
                  <a:lumMod val="95000"/>
                </a:schemeClr>
              </a:solidFill>
            </a:ln>
          </c:spPr>
        </c:majorGridlines>
        <c:title>
          <c:tx>
            <c:rich>
              <a:bodyPr/>
              <a:lstStyle/>
              <a:p>
                <a:pPr>
                  <a:defRPr lang="en-US" sz="900">
                    <a:latin typeface="Arial" pitchFamily="34" charset="0"/>
                    <a:cs typeface="Arial" pitchFamily="34" charset="0"/>
                  </a:defRPr>
                </a:pPr>
                <a:r>
                  <a:rPr lang="en-US" sz="900">
                    <a:latin typeface="Arial" pitchFamily="34" charset="0"/>
                    <a:cs typeface="Arial" pitchFamily="34" charset="0"/>
                  </a:rPr>
                  <a:t>Nº</a:t>
                </a:r>
              </a:p>
            </c:rich>
          </c:tx>
          <c:layout>
            <c:manualLayout>
              <c:xMode val="edge"/>
              <c:yMode val="edge"/>
              <c:x val="0.8590480859010271"/>
              <c:y val="0.84558800151153868"/>
            </c:manualLayout>
          </c:layout>
        </c:title>
        <c:numFmt formatCode="#,##0;[Black]#,##0" sourceLinked="0"/>
        <c:tickLblPos val="nextTo"/>
        <c:txPr>
          <a:bodyPr rot="0" vert="horz"/>
          <a:lstStyle/>
          <a:p>
            <a:pPr>
              <a:defRPr lang="en-US" sz="800" b="0" i="0" u="none" strike="noStrike" baseline="0">
                <a:solidFill>
                  <a:srgbClr val="000000"/>
                </a:solidFill>
                <a:latin typeface="Arial" pitchFamily="34" charset="0"/>
                <a:ea typeface="Calibri"/>
                <a:cs typeface="Arial" pitchFamily="34" charset="0"/>
              </a:defRPr>
            </a:pPr>
            <a:endParaRPr lang="pt-PT"/>
          </a:p>
        </c:txPr>
        <c:crossAx val="279552384"/>
        <c:crosses val="autoZero"/>
        <c:crossBetween val="between"/>
      </c:valAx>
    </c:plotArea>
    <c:legend>
      <c:legendPos val="b"/>
      <c:layout>
        <c:manualLayout>
          <c:xMode val="edge"/>
          <c:yMode val="edge"/>
          <c:x val="0.18034780578898241"/>
          <c:y val="0.87019689092164754"/>
          <c:w val="0.59206685499058376"/>
          <c:h val="0.10241377063706136"/>
        </c:manualLayout>
      </c:layout>
      <c:spPr>
        <a:noFill/>
        <a:ln w="6350">
          <a:solidFill>
            <a:schemeClr val="bg1">
              <a:lumMod val="95000"/>
            </a:schemeClr>
          </a:solidFill>
        </a:ln>
      </c:spPr>
      <c:txPr>
        <a:bodyPr/>
        <a:lstStyle/>
        <a:p>
          <a:pPr>
            <a:defRPr lang="en-US" sz="900" b="0" i="0" u="none" strike="noStrike" baseline="0">
              <a:solidFill>
                <a:srgbClr val="000000"/>
              </a:solidFill>
              <a:latin typeface="Arial" pitchFamily="34" charset="0"/>
              <a:ea typeface="Calibri"/>
              <a:cs typeface="Arial" pitchFamily="34" charset="0"/>
            </a:defRPr>
          </a:pPr>
          <a:endParaRPr lang="pt-PT"/>
        </a:p>
      </c:txPr>
    </c:legend>
    <c:plotVisOnly val="1"/>
    <c:dispBlanksAs val="gap"/>
  </c:chart>
  <c:spPr>
    <a:ln>
      <a:solidFill>
        <a:schemeClr val="bg1">
          <a:lumMod val="85000"/>
        </a:schemeClr>
      </a:solidFill>
    </a:ln>
  </c:spPr>
  <c:txPr>
    <a:bodyPr/>
    <a:lstStyle/>
    <a:p>
      <a:pPr>
        <a:defRPr sz="1000" b="0" i="0" u="none" strike="noStrike" baseline="0">
          <a:solidFill>
            <a:srgbClr val="000000"/>
          </a:solidFill>
          <a:latin typeface="Calibri"/>
          <a:ea typeface="Calibri"/>
          <a:cs typeface="Calibri"/>
        </a:defRPr>
      </a:pPr>
      <a:endParaRPr lang="pt-PT"/>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6.0550458715596327E-2"/>
          <c:y val="3.2520325203252036E-2"/>
          <c:w val="0.86554875283446764"/>
          <c:h val="0.71156264003584857"/>
        </c:manualLayout>
      </c:layout>
      <c:barChart>
        <c:barDir val="bar"/>
        <c:grouping val="clustered"/>
        <c:ser>
          <c:idx val="0"/>
          <c:order val="0"/>
          <c:spPr>
            <a:solidFill>
              <a:schemeClr val="accent4">
                <a:lumMod val="60000"/>
                <a:lumOff val="40000"/>
              </a:schemeClr>
            </a:solidFill>
          </c:spPr>
          <c:dLbls>
            <c:txPr>
              <a:bodyPr/>
              <a:lstStyle/>
              <a:p>
                <a:pPr>
                  <a:defRPr lang="en-US" sz="700">
                    <a:solidFill>
                      <a:schemeClr val="tx1">
                        <a:lumMod val="50000"/>
                        <a:lumOff val="50000"/>
                      </a:schemeClr>
                    </a:solidFill>
                    <a:latin typeface="Arial" pitchFamily="34" charset="0"/>
                    <a:cs typeface="Arial" pitchFamily="34" charset="0"/>
                  </a:defRPr>
                </a:pPr>
                <a:endParaRPr lang="pt-PT"/>
              </a:p>
            </c:txPr>
            <c:showVal val="1"/>
          </c:dLbls>
          <c:val>
            <c:numRef>
              <c:f>AUX!$AB$228:$AB$231</c:f>
              <c:numCache>
                <c:formatCode>0.0</c:formatCode>
                <c:ptCount val="4"/>
                <c:pt idx="0">
                  <c:v>0</c:v>
                </c:pt>
                <c:pt idx="1">
                  <c:v>#N/A</c:v>
                </c:pt>
                <c:pt idx="2">
                  <c:v>#N/A</c:v>
                </c:pt>
                <c:pt idx="3">
                  <c:v>#N/A</c:v>
                </c:pt>
              </c:numCache>
            </c:numRef>
          </c:val>
        </c:ser>
        <c:gapWidth val="50"/>
        <c:axId val="274317312"/>
        <c:axId val="274318848"/>
      </c:barChart>
      <c:catAx>
        <c:axId val="274317312"/>
        <c:scaling>
          <c:orientation val="maxMin"/>
        </c:scaling>
        <c:delete val="1"/>
        <c:axPos val="r"/>
        <c:tickLblPos val="none"/>
        <c:crossAx val="274318848"/>
        <c:crosses val="autoZero"/>
        <c:auto val="1"/>
        <c:lblAlgn val="ctr"/>
        <c:lblOffset val="100"/>
      </c:catAx>
      <c:valAx>
        <c:axId val="274318848"/>
        <c:scaling>
          <c:orientation val="maxMin"/>
          <c:max val="20"/>
        </c:scaling>
        <c:axPos val="b"/>
        <c:majorGridlines>
          <c:spPr>
            <a:ln>
              <a:solidFill>
                <a:schemeClr val="bg1">
                  <a:lumMod val="95000"/>
                </a:schemeClr>
              </a:solidFill>
            </a:ln>
          </c:spPr>
        </c:majorGridlines>
        <c:title>
          <c:tx>
            <c:rich>
              <a:bodyPr/>
              <a:lstStyle/>
              <a:p>
                <a:pPr>
                  <a:defRPr lang="en-US" sz="800" b="0">
                    <a:solidFill>
                      <a:schemeClr val="tx1">
                        <a:lumMod val="65000"/>
                        <a:lumOff val="35000"/>
                      </a:schemeClr>
                    </a:solidFill>
                    <a:latin typeface="Arial" pitchFamily="34" charset="0"/>
                    <a:cs typeface="Arial" pitchFamily="34" charset="0"/>
                  </a:defRPr>
                </a:pPr>
                <a:r>
                  <a:rPr lang="en-US" sz="800" b="0">
                    <a:solidFill>
                      <a:schemeClr val="tx1">
                        <a:lumMod val="65000"/>
                        <a:lumOff val="35000"/>
                      </a:schemeClr>
                    </a:solidFill>
                    <a:latin typeface="Arial" pitchFamily="34" charset="0"/>
                    <a:cs typeface="Arial" pitchFamily="34" charset="0"/>
                  </a:rPr>
                  <a:t>%</a:t>
                </a:r>
              </a:p>
            </c:rich>
          </c:tx>
          <c:layout>
            <c:manualLayout>
              <c:xMode val="edge"/>
              <c:yMode val="edge"/>
              <c:x val="0.107390589569161"/>
              <c:y val="0.86544791666666665"/>
            </c:manualLayout>
          </c:layout>
        </c:title>
        <c:numFmt formatCode="0" sourceLinked="0"/>
        <c:tickLblPos val="nextTo"/>
        <c:txPr>
          <a:bodyPr/>
          <a:lstStyle/>
          <a:p>
            <a:pPr>
              <a:defRPr lang="en-US" sz="800">
                <a:solidFill>
                  <a:schemeClr val="tx1">
                    <a:lumMod val="65000"/>
                    <a:lumOff val="35000"/>
                  </a:schemeClr>
                </a:solidFill>
                <a:latin typeface="Arial" pitchFamily="34" charset="0"/>
                <a:cs typeface="Arial" pitchFamily="34" charset="0"/>
              </a:defRPr>
            </a:pPr>
            <a:endParaRPr lang="pt-PT"/>
          </a:p>
        </c:txPr>
        <c:crossAx val="274317312"/>
        <c:crosses val="max"/>
        <c:crossBetween val="between"/>
        <c:majorUnit val="5"/>
      </c:valAx>
    </c:plotArea>
    <c:plotVisOnly val="1"/>
    <c:dispBlanksAs val="gap"/>
  </c:chart>
  <c:spPr>
    <a:noFill/>
    <a:ln>
      <a:noFill/>
    </a:ln>
  </c:spPr>
  <c:printSettings>
    <c:headerFooter/>
    <c:pageMargins b="0.75000000000000788" l="0.70000000000000062" r="0.70000000000000062" t="0.75000000000000788"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5.9215986394557815E-2"/>
          <c:y val="3.2520325203252036E-2"/>
          <c:w val="0.86554875283446764"/>
          <c:h val="0.71156264003584857"/>
        </c:manualLayout>
      </c:layout>
      <c:barChart>
        <c:barDir val="bar"/>
        <c:grouping val="clustered"/>
        <c:ser>
          <c:idx val="0"/>
          <c:order val="0"/>
          <c:spPr>
            <a:solidFill>
              <a:schemeClr val="accent4">
                <a:lumMod val="60000"/>
                <a:lumOff val="40000"/>
              </a:schemeClr>
            </a:solidFill>
          </c:spPr>
          <c:dLbls>
            <c:txPr>
              <a:bodyPr/>
              <a:lstStyle/>
              <a:p>
                <a:pPr>
                  <a:defRPr lang="en-US" sz="700">
                    <a:solidFill>
                      <a:schemeClr val="tx1">
                        <a:lumMod val="50000"/>
                        <a:lumOff val="50000"/>
                      </a:schemeClr>
                    </a:solidFill>
                    <a:latin typeface="Arial" pitchFamily="34" charset="0"/>
                    <a:cs typeface="Arial" pitchFamily="34" charset="0"/>
                  </a:defRPr>
                </a:pPr>
                <a:endParaRPr lang="pt-PT"/>
              </a:p>
            </c:txPr>
            <c:showVal val="1"/>
          </c:dLbls>
          <c:val>
            <c:numRef>
              <c:f>AUX!$AC$228:$AC$231</c:f>
              <c:numCache>
                <c:formatCode>0.0</c:formatCode>
                <c:ptCount val="4"/>
                <c:pt idx="0">
                  <c:v>0</c:v>
                </c:pt>
                <c:pt idx="1">
                  <c:v>#N/A</c:v>
                </c:pt>
                <c:pt idx="2">
                  <c:v>#N/A</c:v>
                </c:pt>
                <c:pt idx="3">
                  <c:v>#N/A</c:v>
                </c:pt>
              </c:numCache>
            </c:numRef>
          </c:val>
        </c:ser>
        <c:gapWidth val="50"/>
        <c:axId val="274368000"/>
        <c:axId val="274369536"/>
      </c:barChart>
      <c:catAx>
        <c:axId val="274368000"/>
        <c:scaling>
          <c:orientation val="maxMin"/>
        </c:scaling>
        <c:delete val="1"/>
        <c:axPos val="l"/>
        <c:tickLblPos val="none"/>
        <c:crossAx val="274369536"/>
        <c:crosses val="autoZero"/>
        <c:auto val="1"/>
        <c:lblAlgn val="ctr"/>
        <c:lblOffset val="100"/>
      </c:catAx>
      <c:valAx>
        <c:axId val="274369536"/>
        <c:scaling>
          <c:orientation val="minMax"/>
          <c:max val="20"/>
        </c:scaling>
        <c:axPos val="b"/>
        <c:majorGridlines>
          <c:spPr>
            <a:ln>
              <a:solidFill>
                <a:schemeClr val="bg1">
                  <a:lumMod val="95000"/>
                </a:schemeClr>
              </a:solidFill>
            </a:ln>
          </c:spPr>
        </c:majorGridlines>
        <c:title>
          <c:tx>
            <c:rich>
              <a:bodyPr/>
              <a:lstStyle/>
              <a:p>
                <a:pPr>
                  <a:defRPr lang="en-US" sz="800" b="0">
                    <a:solidFill>
                      <a:schemeClr val="tx1">
                        <a:lumMod val="65000"/>
                        <a:lumOff val="35000"/>
                      </a:schemeClr>
                    </a:solidFill>
                    <a:latin typeface="Arial" pitchFamily="34" charset="0"/>
                    <a:cs typeface="Arial" pitchFamily="34" charset="0"/>
                  </a:defRPr>
                </a:pPr>
                <a:r>
                  <a:rPr lang="en-US" sz="800" b="0">
                    <a:solidFill>
                      <a:schemeClr val="tx1">
                        <a:lumMod val="65000"/>
                        <a:lumOff val="35000"/>
                      </a:schemeClr>
                    </a:solidFill>
                    <a:latin typeface="Arial" pitchFamily="34" charset="0"/>
                    <a:cs typeface="Arial" pitchFamily="34" charset="0"/>
                  </a:rPr>
                  <a:t>%</a:t>
                </a:r>
              </a:p>
            </c:rich>
          </c:tx>
          <c:layout>
            <c:manualLayout>
              <c:xMode val="edge"/>
              <c:yMode val="edge"/>
              <c:x val="0.78252777777777749"/>
              <c:y val="0.84339930555555565"/>
            </c:manualLayout>
          </c:layout>
        </c:title>
        <c:numFmt formatCode="0" sourceLinked="0"/>
        <c:tickLblPos val="nextTo"/>
        <c:txPr>
          <a:bodyPr/>
          <a:lstStyle/>
          <a:p>
            <a:pPr>
              <a:defRPr lang="en-US" sz="800">
                <a:solidFill>
                  <a:schemeClr val="tx1">
                    <a:lumMod val="65000"/>
                    <a:lumOff val="35000"/>
                  </a:schemeClr>
                </a:solidFill>
                <a:latin typeface="Arial" pitchFamily="34" charset="0"/>
                <a:cs typeface="Arial" pitchFamily="34" charset="0"/>
              </a:defRPr>
            </a:pPr>
            <a:endParaRPr lang="pt-PT"/>
          </a:p>
        </c:txPr>
        <c:crossAx val="274368000"/>
        <c:crosses val="max"/>
        <c:crossBetween val="between"/>
        <c:majorUnit val="5"/>
      </c:valAx>
    </c:plotArea>
    <c:plotVisOnly val="1"/>
    <c:dispBlanksAs val="gap"/>
  </c:chart>
  <c:spPr>
    <a:ln>
      <a:noFill/>
    </a:ln>
  </c:spPr>
  <c:printSettings>
    <c:headerFooter/>
    <c:pageMargins b="0.7500000000000081" l="0.70000000000000062" r="0.70000000000000062" t="0.7500000000000081"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6.0550458715596327E-2"/>
          <c:y val="3.2520325203252036E-2"/>
          <c:w val="0.86554875283446764"/>
          <c:h val="0.71156264003584857"/>
        </c:manualLayout>
      </c:layout>
      <c:barChart>
        <c:barDir val="bar"/>
        <c:grouping val="clustered"/>
        <c:ser>
          <c:idx val="0"/>
          <c:order val="0"/>
          <c:spPr>
            <a:solidFill>
              <a:schemeClr val="accent4">
                <a:lumMod val="60000"/>
                <a:lumOff val="40000"/>
              </a:schemeClr>
            </a:solidFill>
          </c:spPr>
          <c:dLbls>
            <c:txPr>
              <a:bodyPr/>
              <a:lstStyle/>
              <a:p>
                <a:pPr>
                  <a:defRPr lang="en-US" sz="700">
                    <a:solidFill>
                      <a:schemeClr val="tx1">
                        <a:lumMod val="50000"/>
                        <a:lumOff val="50000"/>
                      </a:schemeClr>
                    </a:solidFill>
                    <a:latin typeface="Arial" pitchFamily="34" charset="0"/>
                    <a:cs typeface="Arial" pitchFamily="34" charset="0"/>
                  </a:defRPr>
                </a:pPr>
                <a:endParaRPr lang="pt-PT"/>
              </a:p>
            </c:txPr>
            <c:showVal val="1"/>
          </c:dLbls>
          <c:val>
            <c:numRef>
              <c:f>AUX!$AE$228:$AE$231</c:f>
              <c:numCache>
                <c:formatCode>0.0</c:formatCode>
                <c:ptCount val="4"/>
                <c:pt idx="0">
                  <c:v>0</c:v>
                </c:pt>
                <c:pt idx="1">
                  <c:v>#N/A</c:v>
                </c:pt>
                <c:pt idx="2">
                  <c:v>#N/A</c:v>
                </c:pt>
                <c:pt idx="3">
                  <c:v>#N/A</c:v>
                </c:pt>
              </c:numCache>
            </c:numRef>
          </c:val>
        </c:ser>
        <c:gapWidth val="50"/>
        <c:axId val="274315904"/>
        <c:axId val="274399616"/>
      </c:barChart>
      <c:catAx>
        <c:axId val="274315904"/>
        <c:scaling>
          <c:orientation val="maxMin"/>
        </c:scaling>
        <c:delete val="1"/>
        <c:axPos val="r"/>
        <c:tickLblPos val="none"/>
        <c:crossAx val="274399616"/>
        <c:crosses val="autoZero"/>
        <c:auto val="1"/>
        <c:lblAlgn val="ctr"/>
        <c:lblOffset val="100"/>
      </c:catAx>
      <c:valAx>
        <c:axId val="274399616"/>
        <c:scaling>
          <c:orientation val="maxMin"/>
          <c:max val="20"/>
        </c:scaling>
        <c:axPos val="b"/>
        <c:majorGridlines>
          <c:spPr>
            <a:ln>
              <a:solidFill>
                <a:schemeClr val="bg1">
                  <a:lumMod val="95000"/>
                </a:schemeClr>
              </a:solidFill>
            </a:ln>
          </c:spPr>
        </c:majorGridlines>
        <c:title>
          <c:tx>
            <c:rich>
              <a:bodyPr/>
              <a:lstStyle/>
              <a:p>
                <a:pPr>
                  <a:defRPr lang="en-US" sz="800" b="0">
                    <a:solidFill>
                      <a:schemeClr val="tx1">
                        <a:lumMod val="65000"/>
                        <a:lumOff val="35000"/>
                      </a:schemeClr>
                    </a:solidFill>
                    <a:latin typeface="Arial" pitchFamily="34" charset="0"/>
                    <a:cs typeface="Arial" pitchFamily="34" charset="0"/>
                  </a:defRPr>
                </a:pPr>
                <a:r>
                  <a:rPr lang="en-US" sz="800" b="0">
                    <a:solidFill>
                      <a:schemeClr val="tx1">
                        <a:lumMod val="65000"/>
                        <a:lumOff val="35000"/>
                      </a:schemeClr>
                    </a:solidFill>
                    <a:latin typeface="Arial" pitchFamily="34" charset="0"/>
                    <a:cs typeface="Arial" pitchFamily="34" charset="0"/>
                  </a:rPr>
                  <a:t>%</a:t>
                </a:r>
              </a:p>
            </c:rich>
          </c:tx>
          <c:layout>
            <c:manualLayout>
              <c:xMode val="edge"/>
              <c:yMode val="edge"/>
              <c:x val="0.107390589569161"/>
              <c:y val="0.86544791666666665"/>
            </c:manualLayout>
          </c:layout>
        </c:title>
        <c:numFmt formatCode="0" sourceLinked="0"/>
        <c:tickLblPos val="nextTo"/>
        <c:txPr>
          <a:bodyPr/>
          <a:lstStyle/>
          <a:p>
            <a:pPr>
              <a:defRPr lang="en-US" sz="800">
                <a:solidFill>
                  <a:schemeClr val="tx1">
                    <a:lumMod val="65000"/>
                    <a:lumOff val="35000"/>
                  </a:schemeClr>
                </a:solidFill>
                <a:latin typeface="Arial" pitchFamily="34" charset="0"/>
                <a:cs typeface="Arial" pitchFamily="34" charset="0"/>
              </a:defRPr>
            </a:pPr>
            <a:endParaRPr lang="pt-PT"/>
          </a:p>
        </c:txPr>
        <c:crossAx val="274315904"/>
        <c:crosses val="max"/>
        <c:crossBetween val="between"/>
        <c:majorUnit val="5"/>
      </c:valAx>
    </c:plotArea>
    <c:plotVisOnly val="1"/>
    <c:dispBlanksAs val="gap"/>
  </c:chart>
  <c:spPr>
    <a:noFill/>
    <a:ln>
      <a:noFill/>
    </a:ln>
  </c:spPr>
  <c:printSettings>
    <c:headerFooter/>
    <c:pageMargins b="0.7500000000000081" l="0.70000000000000062" r="0.70000000000000062" t="0.7500000000000081"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5.9215986394557815E-2"/>
          <c:y val="3.2520325203252036E-2"/>
          <c:w val="0.86554875283446764"/>
          <c:h val="0.71156264003584857"/>
        </c:manualLayout>
      </c:layout>
      <c:barChart>
        <c:barDir val="bar"/>
        <c:grouping val="clustered"/>
        <c:ser>
          <c:idx val="0"/>
          <c:order val="0"/>
          <c:spPr>
            <a:solidFill>
              <a:schemeClr val="accent4">
                <a:lumMod val="60000"/>
                <a:lumOff val="40000"/>
              </a:schemeClr>
            </a:solidFill>
          </c:spPr>
          <c:dLbls>
            <c:txPr>
              <a:bodyPr/>
              <a:lstStyle/>
              <a:p>
                <a:pPr>
                  <a:defRPr lang="en-US" sz="700">
                    <a:solidFill>
                      <a:schemeClr val="tx1">
                        <a:lumMod val="50000"/>
                        <a:lumOff val="50000"/>
                      </a:schemeClr>
                    </a:solidFill>
                    <a:latin typeface="Arial" pitchFamily="34" charset="0"/>
                    <a:cs typeface="Arial" pitchFamily="34" charset="0"/>
                  </a:defRPr>
                </a:pPr>
                <a:endParaRPr lang="pt-PT"/>
              </a:p>
            </c:txPr>
            <c:showVal val="1"/>
          </c:dLbls>
          <c:val>
            <c:numRef>
              <c:f>AUX!$AF$228:$AF$231</c:f>
              <c:numCache>
                <c:formatCode>0.0</c:formatCode>
                <c:ptCount val="4"/>
                <c:pt idx="0">
                  <c:v>0</c:v>
                </c:pt>
                <c:pt idx="1">
                  <c:v>#N/A</c:v>
                </c:pt>
                <c:pt idx="2">
                  <c:v>#N/A</c:v>
                </c:pt>
                <c:pt idx="3">
                  <c:v>#N/A</c:v>
                </c:pt>
              </c:numCache>
            </c:numRef>
          </c:val>
        </c:ser>
        <c:gapWidth val="50"/>
        <c:axId val="274427904"/>
        <c:axId val="274429440"/>
      </c:barChart>
      <c:catAx>
        <c:axId val="274427904"/>
        <c:scaling>
          <c:orientation val="maxMin"/>
        </c:scaling>
        <c:delete val="1"/>
        <c:axPos val="l"/>
        <c:tickLblPos val="none"/>
        <c:crossAx val="274429440"/>
        <c:crosses val="autoZero"/>
        <c:auto val="1"/>
        <c:lblAlgn val="ctr"/>
        <c:lblOffset val="100"/>
      </c:catAx>
      <c:valAx>
        <c:axId val="274429440"/>
        <c:scaling>
          <c:orientation val="minMax"/>
          <c:max val="20"/>
        </c:scaling>
        <c:axPos val="b"/>
        <c:majorGridlines>
          <c:spPr>
            <a:ln>
              <a:solidFill>
                <a:schemeClr val="bg1">
                  <a:lumMod val="95000"/>
                </a:schemeClr>
              </a:solidFill>
            </a:ln>
          </c:spPr>
        </c:majorGridlines>
        <c:title>
          <c:tx>
            <c:rich>
              <a:bodyPr/>
              <a:lstStyle/>
              <a:p>
                <a:pPr>
                  <a:defRPr lang="en-US" sz="800" b="0">
                    <a:solidFill>
                      <a:schemeClr val="tx1">
                        <a:lumMod val="65000"/>
                        <a:lumOff val="35000"/>
                      </a:schemeClr>
                    </a:solidFill>
                    <a:latin typeface="Arial" pitchFamily="34" charset="0"/>
                    <a:cs typeface="Arial" pitchFamily="34" charset="0"/>
                  </a:defRPr>
                </a:pPr>
                <a:r>
                  <a:rPr lang="en-US" sz="800" b="0">
                    <a:solidFill>
                      <a:schemeClr val="tx1">
                        <a:lumMod val="65000"/>
                        <a:lumOff val="35000"/>
                      </a:schemeClr>
                    </a:solidFill>
                    <a:latin typeface="Arial" pitchFamily="34" charset="0"/>
                    <a:cs typeface="Arial" pitchFamily="34" charset="0"/>
                  </a:rPr>
                  <a:t>%</a:t>
                </a:r>
              </a:p>
            </c:rich>
          </c:tx>
          <c:layout>
            <c:manualLayout>
              <c:xMode val="edge"/>
              <c:yMode val="edge"/>
              <c:x val="0.78252777777777749"/>
              <c:y val="0.84339930555555565"/>
            </c:manualLayout>
          </c:layout>
        </c:title>
        <c:numFmt formatCode="0" sourceLinked="0"/>
        <c:tickLblPos val="nextTo"/>
        <c:txPr>
          <a:bodyPr/>
          <a:lstStyle/>
          <a:p>
            <a:pPr>
              <a:defRPr lang="en-US" sz="800">
                <a:solidFill>
                  <a:schemeClr val="tx1">
                    <a:lumMod val="65000"/>
                    <a:lumOff val="35000"/>
                  </a:schemeClr>
                </a:solidFill>
                <a:latin typeface="Arial" pitchFamily="34" charset="0"/>
                <a:cs typeface="Arial" pitchFamily="34" charset="0"/>
              </a:defRPr>
            </a:pPr>
            <a:endParaRPr lang="pt-PT"/>
          </a:p>
        </c:txPr>
        <c:crossAx val="274427904"/>
        <c:crosses val="max"/>
        <c:crossBetween val="between"/>
        <c:majorUnit val="5"/>
      </c:valAx>
    </c:plotArea>
    <c:plotVisOnly val="1"/>
    <c:dispBlanksAs val="gap"/>
  </c:chart>
  <c:spPr>
    <a:ln>
      <a:noFill/>
    </a:ln>
  </c:spPr>
  <c:printSettings>
    <c:headerFooter/>
    <c:pageMargins b="0.75000000000000833" l="0.70000000000000062" r="0.70000000000000062" t="0.7500000000000083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2140462962962972"/>
          <c:y val="3.5679629629630012E-2"/>
          <c:w val="0.85272500000003848"/>
          <c:h val="0.73476481481484901"/>
        </c:manualLayout>
      </c:layout>
      <c:lineChart>
        <c:grouping val="standard"/>
        <c:ser>
          <c:idx val="0"/>
          <c:order val="0"/>
          <c:tx>
            <c:strRef>
              <c:f>AUX!$A$255</c:f>
              <c:strCache>
                <c:ptCount val="1"/>
                <c:pt idx="0">
                  <c:v>Continente</c:v>
                </c:pt>
              </c:strCache>
            </c:strRef>
          </c:tx>
          <c:spPr>
            <a:ln w="19050">
              <a:solidFill>
                <a:srgbClr val="FF0000"/>
              </a:solidFill>
            </a:ln>
          </c:spPr>
          <c:marker>
            <c:symbol val="none"/>
          </c:marker>
          <c:cat>
            <c:numRef>
              <c:f>AUX!$B$254:$R$254</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AUX!$B$255:$R$255</c:f>
              <c:numCache>
                <c:formatCode>0.0</c:formatCode>
                <c:ptCount val="17"/>
                <c:pt idx="0">
                  <c:v>10.591275772433184</c:v>
                </c:pt>
                <c:pt idx="1">
                  <c:v>10.321375458978128</c:v>
                </c:pt>
                <c:pt idx="2">
                  <c:v>10.420296162746913</c:v>
                </c:pt>
                <c:pt idx="3">
                  <c:v>10.546231405673506</c:v>
                </c:pt>
                <c:pt idx="4">
                  <c:v>10.200667728095262</c:v>
                </c:pt>
                <c:pt idx="5">
                  <c:v>10.097142437599212</c:v>
                </c:pt>
                <c:pt idx="6">
                  <c:v>10.162100000785729</c:v>
                </c:pt>
                <c:pt idx="7">
                  <c:v>10.370855888455157</c:v>
                </c:pt>
                <c:pt idx="8">
                  <c:v>9.7096139760912301</c:v>
                </c:pt>
                <c:pt idx="9">
                  <c:v>10.231222140747473</c:v>
                </c:pt>
                <c:pt idx="10">
                  <c:v>9.6872928529785245</c:v>
                </c:pt>
                <c:pt idx="11">
                  <c:v>9.8327011755931615</c:v>
                </c:pt>
                <c:pt idx="12">
                  <c:v>9.8932426349082832</c:v>
                </c:pt>
                <c:pt idx="13">
                  <c:v>9.8786389784332709</c:v>
                </c:pt>
                <c:pt idx="14">
                  <c:v>10.024623390665301</c:v>
                </c:pt>
                <c:pt idx="15">
                  <c:v>9.7528160606764889</c:v>
                </c:pt>
                <c:pt idx="16">
                  <c:v>10.276886047948638</c:v>
                </c:pt>
              </c:numCache>
            </c:numRef>
          </c:val>
        </c:ser>
        <c:ser>
          <c:idx val="1"/>
          <c:order val="1"/>
          <c:tx>
            <c:strRef>
              <c:f>AUX!$A$256</c:f>
              <c:strCache>
                <c:ptCount val="1"/>
                <c:pt idx="0">
                  <c:v>0</c:v>
                </c:pt>
              </c:strCache>
            </c:strRef>
          </c:tx>
          <c:spPr>
            <a:ln w="19050">
              <a:solidFill>
                <a:schemeClr val="tx2">
                  <a:lumMod val="75000"/>
                </a:schemeClr>
              </a:solidFill>
            </a:ln>
          </c:spPr>
          <c:marker>
            <c:symbol val="none"/>
          </c:marker>
          <c:cat>
            <c:numRef>
              <c:f>AUX!$B$254:$R$254</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AUX!$B$256:$R$256</c:f>
              <c:numCache>
                <c:formatCode>0.0</c:formatCode>
                <c:ptCount val="17"/>
              </c:numCache>
            </c:numRef>
          </c:val>
        </c:ser>
        <c:ser>
          <c:idx val="2"/>
          <c:order val="2"/>
          <c:tx>
            <c:strRef>
              <c:f>AUX!$A$257</c:f>
              <c:strCache>
                <c:ptCount val="1"/>
                <c:pt idx="0">
                  <c:v>0</c:v>
                </c:pt>
              </c:strCache>
            </c:strRef>
          </c:tx>
          <c:spPr>
            <a:ln w="38100">
              <a:solidFill>
                <a:srgbClr val="008080"/>
              </a:solidFill>
            </a:ln>
          </c:spPr>
          <c:marker>
            <c:symbol val="none"/>
          </c:marker>
          <c:cat>
            <c:numRef>
              <c:f>AUX!$B$254:$R$254</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AUX!$B$257:$R$257</c:f>
              <c:numCache>
                <c:formatCode>0.0</c:formatCode>
                <c:ptCount val="17"/>
              </c:numCache>
            </c:numRef>
          </c:val>
        </c:ser>
        <c:marker val="1"/>
        <c:axId val="274512128"/>
        <c:axId val="274522112"/>
      </c:lineChart>
      <c:catAx>
        <c:axId val="274512128"/>
        <c:scaling>
          <c:orientation val="minMax"/>
        </c:scaling>
        <c:axPos val="b"/>
        <c:numFmt formatCode="General" sourceLinked="1"/>
        <c:tickLblPos val="nextTo"/>
        <c:txPr>
          <a:bodyPr/>
          <a:lstStyle/>
          <a:p>
            <a:pPr>
              <a:defRPr lang="en-US" sz="900">
                <a:latin typeface="Arial" pitchFamily="34" charset="0"/>
                <a:cs typeface="Arial" pitchFamily="34" charset="0"/>
              </a:defRPr>
            </a:pPr>
            <a:endParaRPr lang="pt-PT"/>
          </a:p>
        </c:txPr>
        <c:crossAx val="274522112"/>
        <c:crosses val="autoZero"/>
        <c:auto val="1"/>
        <c:lblAlgn val="ctr"/>
        <c:lblOffset val="100"/>
        <c:tickLblSkip val="2"/>
        <c:tickMarkSkip val="1"/>
      </c:catAx>
      <c:valAx>
        <c:axId val="274522112"/>
        <c:scaling>
          <c:orientation val="minMax"/>
        </c:scaling>
        <c:axPos val="l"/>
        <c:majorGridlines>
          <c:spPr>
            <a:ln w="3175">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Taxa bruta de mortalidade (/1000 hab)</a:t>
                </a:r>
              </a:p>
            </c:rich>
          </c:tx>
          <c:layout>
            <c:manualLayout>
              <c:xMode val="edge"/>
              <c:yMode val="edge"/>
              <c:x val="5.2175536881419234E-3"/>
              <c:y val="1.1797839506172863E-2"/>
            </c:manualLayout>
          </c:layout>
        </c:title>
        <c:numFmt formatCode="0" sourceLinked="0"/>
        <c:tickLblPos val="nextTo"/>
        <c:spPr>
          <a:ln>
            <a:solidFill>
              <a:schemeClr val="bg1">
                <a:lumMod val="85000"/>
              </a:schemeClr>
            </a:solidFill>
          </a:ln>
        </c:spPr>
        <c:txPr>
          <a:bodyPr/>
          <a:lstStyle/>
          <a:p>
            <a:pPr>
              <a:defRPr lang="en-US" sz="900">
                <a:latin typeface="Arial" pitchFamily="34" charset="0"/>
                <a:cs typeface="Arial" pitchFamily="34" charset="0"/>
              </a:defRPr>
            </a:pPr>
            <a:endParaRPr lang="pt-PT"/>
          </a:p>
        </c:txPr>
        <c:crossAx val="274512128"/>
        <c:crosses val="autoZero"/>
        <c:crossBetween val="between"/>
      </c:valAx>
    </c:plotArea>
    <c:legend>
      <c:legendPos val="b"/>
      <c:layout>
        <c:manualLayout>
          <c:xMode val="edge"/>
          <c:yMode val="edge"/>
          <c:x val="1.6211251167133525E-2"/>
          <c:y val="0.89670023148150735"/>
          <c:w val="0.96757749766573364"/>
          <c:h val="8.3701003086421227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w="3175">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0336379116003552"/>
          <c:y val="4.6260498687663965E-2"/>
          <c:w val="0.87588459601413016"/>
          <c:h val="0.74588452380952375"/>
        </c:manualLayout>
      </c:layout>
      <c:lineChart>
        <c:grouping val="standard"/>
        <c:ser>
          <c:idx val="1"/>
          <c:order val="0"/>
          <c:tx>
            <c:strRef>
              <c:f>AUX!$A$261</c:f>
              <c:strCache>
                <c:ptCount val="1"/>
                <c:pt idx="0">
                  <c:v>Continente</c:v>
                </c:pt>
              </c:strCache>
            </c:strRef>
          </c:tx>
          <c:spPr>
            <a:ln w="19050">
              <a:solidFill>
                <a:srgbClr val="FF0000"/>
              </a:solidFill>
            </a:ln>
          </c:spPr>
          <c:marker>
            <c:symbol val="none"/>
          </c:marker>
          <c:cat>
            <c:strRef>
              <c:f>AUX!$B$260:$P$260</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AUX!$B$261:$P$261</c:f>
              <c:numCache>
                <c:formatCode>0.0</c:formatCode>
                <c:ptCount val="15"/>
                <c:pt idx="0">
                  <c:v>6.2211196121505949</c:v>
                </c:pt>
                <c:pt idx="1">
                  <c:v>5.8287886351023293</c:v>
                </c:pt>
                <c:pt idx="2">
                  <c:v>5.5013411984609597</c:v>
                </c:pt>
                <c:pt idx="3">
                  <c:v>5.173492760755579</c:v>
                </c:pt>
                <c:pt idx="4">
                  <c:v>5.0154121022351354</c:v>
                </c:pt>
                <c:pt idx="5">
                  <c:v>4.6119855532668748</c:v>
                </c:pt>
                <c:pt idx="6">
                  <c:v>4.261439636424293</c:v>
                </c:pt>
                <c:pt idx="7">
                  <c:v>3.7480708458881455</c:v>
                </c:pt>
                <c:pt idx="8">
                  <c:v>3.4818986953485491</c:v>
                </c:pt>
                <c:pt idx="9">
                  <c:v>3.3593505255650573</c:v>
                </c:pt>
                <c:pt idx="10">
                  <c:v>3.3108439439287105</c:v>
                </c:pt>
                <c:pt idx="11">
                  <c:v>3.4136394011835787</c:v>
                </c:pt>
                <c:pt idx="12">
                  <c:v>3.1017498290238121</c:v>
                </c:pt>
                <c:pt idx="13">
                  <c:v>3.0443935667250264</c:v>
                </c:pt>
                <c:pt idx="14">
                  <c:v>2.9435562113063312</c:v>
                </c:pt>
              </c:numCache>
            </c:numRef>
          </c:val>
        </c:ser>
        <c:ser>
          <c:idx val="2"/>
          <c:order val="1"/>
          <c:tx>
            <c:strRef>
              <c:f>AUX!$A$262</c:f>
              <c:strCache>
                <c:ptCount val="1"/>
                <c:pt idx="0">
                  <c:v>0</c:v>
                </c:pt>
              </c:strCache>
            </c:strRef>
          </c:tx>
          <c:spPr>
            <a:ln w="19050">
              <a:solidFill>
                <a:schemeClr val="tx2"/>
              </a:solidFill>
            </a:ln>
          </c:spPr>
          <c:marker>
            <c:symbol val="none"/>
          </c:marker>
          <c:cat>
            <c:strRef>
              <c:f>AUX!$B$260:$P$260</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AUX!$B$262:$P$262</c:f>
              <c:numCache>
                <c:formatCode>0.0</c:formatCode>
                <c:ptCount val="15"/>
              </c:numCache>
            </c:numRef>
          </c:val>
        </c:ser>
        <c:ser>
          <c:idx val="3"/>
          <c:order val="2"/>
          <c:tx>
            <c:strRef>
              <c:f>AUX!$A$263</c:f>
              <c:strCache>
                <c:ptCount val="1"/>
                <c:pt idx="0">
                  <c:v>0</c:v>
                </c:pt>
              </c:strCache>
            </c:strRef>
          </c:tx>
          <c:spPr>
            <a:ln w="38100">
              <a:solidFill>
                <a:srgbClr val="008080"/>
              </a:solidFill>
            </a:ln>
          </c:spPr>
          <c:marker>
            <c:symbol val="none"/>
          </c:marker>
          <c:cat>
            <c:strRef>
              <c:f>AUX!$B$260:$P$260</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AUX!$B$263:$P$263</c:f>
              <c:numCache>
                <c:formatCode>0.0</c:formatCode>
                <c:ptCount val="15"/>
              </c:numCache>
            </c:numRef>
          </c:val>
        </c:ser>
        <c:marker val="1"/>
        <c:axId val="274545664"/>
        <c:axId val="274563840"/>
      </c:lineChart>
      <c:catAx>
        <c:axId val="274545664"/>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74563840"/>
        <c:crosses val="autoZero"/>
        <c:auto val="1"/>
        <c:lblAlgn val="ctr"/>
        <c:lblOffset val="100"/>
        <c:tickLblSkip val="2"/>
        <c:tickMarkSkip val="1"/>
      </c:catAx>
      <c:valAx>
        <c:axId val="274563840"/>
        <c:scaling>
          <c:orientation val="minMax"/>
        </c:scaling>
        <c:axPos val="l"/>
        <c:majorGridlines>
          <c:spPr>
            <a:ln w="3175">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/1000 nados vivos</a:t>
                </a:r>
              </a:p>
            </c:rich>
          </c:tx>
          <c:layout>
            <c:manualLayout>
              <c:xMode val="edge"/>
              <c:yMode val="edge"/>
              <c:x val="2.6548672566373056E-3"/>
              <c:y val="6.2932098765432183E-3"/>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545664"/>
        <c:crosses val="autoZero"/>
        <c:crossBetween val="between"/>
        <c:majorUnit val="1"/>
        <c:minorUnit val="0.2"/>
      </c:valAx>
    </c:plotArea>
    <c:legend>
      <c:legendPos val="b"/>
      <c:layout>
        <c:manualLayout>
          <c:xMode val="edge"/>
          <c:yMode val="edge"/>
          <c:x val="1.4246498599439775E-2"/>
          <c:y val="0.92349344506743858"/>
          <c:w val="0.97150676937441638"/>
          <c:h val="5.9385594042128086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0336379116003552"/>
          <c:y val="4.6260498687663965E-2"/>
          <c:w val="0.8758845960141306"/>
          <c:h val="0.74588452380952375"/>
        </c:manualLayout>
      </c:layout>
      <c:lineChart>
        <c:grouping val="standard"/>
        <c:ser>
          <c:idx val="1"/>
          <c:order val="0"/>
          <c:tx>
            <c:strRef>
              <c:f>AUX!$A$267</c:f>
              <c:strCache>
                <c:ptCount val="1"/>
                <c:pt idx="0">
                  <c:v>Continente</c:v>
                </c:pt>
              </c:strCache>
            </c:strRef>
          </c:tx>
          <c:spPr>
            <a:ln w="19050">
              <a:solidFill>
                <a:srgbClr val="FF0000"/>
              </a:solidFill>
            </a:ln>
          </c:spPr>
          <c:marker>
            <c:symbol val="none"/>
          </c:marker>
          <c:cat>
            <c:strRef>
              <c:f>AUX!$B$266:$P$266</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AUX!$B$267:$P$267</c:f>
              <c:numCache>
                <c:formatCode>0.0</c:formatCode>
                <c:ptCount val="15"/>
                <c:pt idx="0">
                  <c:v>3.8759689922480618</c:v>
                </c:pt>
                <c:pt idx="1">
                  <c:v>3.695700028213817</c:v>
                </c:pt>
                <c:pt idx="2">
                  <c:v>3.4440277221473741</c:v>
                </c:pt>
                <c:pt idx="3">
                  <c:v>3.1776121125956172</c:v>
                </c:pt>
                <c:pt idx="4">
                  <c:v>3.1433981017656079</c:v>
                </c:pt>
                <c:pt idx="5">
                  <c:v>2.9416988934350878</c:v>
                </c:pt>
                <c:pt idx="6">
                  <c:v>2.8325669666040354</c:v>
                </c:pt>
                <c:pt idx="7">
                  <c:v>2.4252223120452712</c:v>
                </c:pt>
                <c:pt idx="8">
                  <c:v>2.2483863178023902</c:v>
                </c:pt>
                <c:pt idx="9">
                  <c:v>2.1029267674916183</c:v>
                </c:pt>
                <c:pt idx="10">
                  <c:v>2.0798457870440825</c:v>
                </c:pt>
                <c:pt idx="11">
                  <c:v>2.177013220532817</c:v>
                </c:pt>
                <c:pt idx="12">
                  <c:v>2.0413520589677874</c:v>
                </c:pt>
                <c:pt idx="13">
                  <c:v>2.1264681490512407</c:v>
                </c:pt>
                <c:pt idx="14">
                  <c:v>2.050238157128788</c:v>
                </c:pt>
              </c:numCache>
            </c:numRef>
          </c:val>
        </c:ser>
        <c:ser>
          <c:idx val="2"/>
          <c:order val="1"/>
          <c:tx>
            <c:strRef>
              <c:f>AUX!$A$268</c:f>
              <c:strCache>
                <c:ptCount val="1"/>
                <c:pt idx="0">
                  <c:v>0</c:v>
                </c:pt>
              </c:strCache>
            </c:strRef>
          </c:tx>
          <c:spPr>
            <a:ln w="19050">
              <a:solidFill>
                <a:schemeClr val="tx2"/>
              </a:solidFill>
            </a:ln>
          </c:spPr>
          <c:marker>
            <c:symbol val="none"/>
          </c:marker>
          <c:cat>
            <c:strRef>
              <c:f>AUX!$B$266:$P$266</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AUX!$B$268:$P$268</c:f>
              <c:numCache>
                <c:formatCode>0.0</c:formatCode>
                <c:ptCount val="15"/>
              </c:numCache>
            </c:numRef>
          </c:val>
        </c:ser>
        <c:ser>
          <c:idx val="3"/>
          <c:order val="2"/>
          <c:tx>
            <c:strRef>
              <c:f>AUX!$A$269</c:f>
              <c:strCache>
                <c:ptCount val="1"/>
                <c:pt idx="0">
                  <c:v>0</c:v>
                </c:pt>
              </c:strCache>
            </c:strRef>
          </c:tx>
          <c:spPr>
            <a:ln w="38100">
              <a:solidFill>
                <a:srgbClr val="008080"/>
              </a:solidFill>
            </a:ln>
          </c:spPr>
          <c:marker>
            <c:symbol val="none"/>
          </c:marker>
          <c:cat>
            <c:strRef>
              <c:f>AUX!$B$266:$P$266</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AUX!$B$269:$P$269</c:f>
              <c:numCache>
                <c:formatCode>0.0</c:formatCode>
                <c:ptCount val="15"/>
              </c:numCache>
            </c:numRef>
          </c:val>
        </c:ser>
        <c:marker val="1"/>
        <c:axId val="274603008"/>
        <c:axId val="274608896"/>
      </c:lineChart>
      <c:catAx>
        <c:axId val="274603008"/>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74608896"/>
        <c:crosses val="autoZero"/>
        <c:auto val="1"/>
        <c:lblAlgn val="ctr"/>
        <c:lblOffset val="100"/>
        <c:tickLblSkip val="2"/>
        <c:tickMarkSkip val="1"/>
      </c:catAx>
      <c:valAx>
        <c:axId val="274608896"/>
        <c:scaling>
          <c:orientation val="minMax"/>
        </c:scaling>
        <c:axPos val="l"/>
        <c:majorGridlines>
          <c:spPr>
            <a:ln w="3175">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/1000 nados vivos</a:t>
                </a:r>
              </a:p>
            </c:rich>
          </c:tx>
          <c:layout>
            <c:manualLayout>
              <c:xMode val="edge"/>
              <c:yMode val="edge"/>
              <c:x val="2.6548672566373077E-3"/>
              <c:y val="6.2932098765432183E-3"/>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603008"/>
        <c:crosses val="autoZero"/>
        <c:crossBetween val="between"/>
        <c:majorUnit val="1"/>
        <c:minorUnit val="0.2"/>
      </c:valAx>
    </c:plotArea>
    <c:legend>
      <c:legendPos val="b"/>
      <c:layout>
        <c:manualLayout>
          <c:xMode val="edge"/>
          <c:yMode val="edge"/>
          <c:x val="1.4246498599439775E-2"/>
          <c:y val="0.92349344506743858"/>
          <c:w val="0.97150676937441638"/>
          <c:h val="5.9385594042128127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0336379116003552"/>
          <c:y val="4.6260498687663965E-2"/>
          <c:w val="0.8758845960141306"/>
          <c:h val="0.74588452380952375"/>
        </c:manualLayout>
      </c:layout>
      <c:lineChart>
        <c:grouping val="standard"/>
        <c:ser>
          <c:idx val="1"/>
          <c:order val="0"/>
          <c:tx>
            <c:strRef>
              <c:f>AUX!$A$273</c:f>
              <c:strCache>
                <c:ptCount val="1"/>
                <c:pt idx="0">
                  <c:v>Continente</c:v>
                </c:pt>
              </c:strCache>
            </c:strRef>
          </c:tx>
          <c:spPr>
            <a:ln w="19050">
              <a:solidFill>
                <a:srgbClr val="FF0000"/>
              </a:solidFill>
            </a:ln>
          </c:spPr>
          <c:marker>
            <c:symbol val="none"/>
          </c:marker>
          <c:cat>
            <c:strRef>
              <c:f>AUX!$B$272:$P$272</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AUX!$B$273:$P$273</c:f>
              <c:numCache>
                <c:formatCode>0.0</c:formatCode>
                <c:ptCount val="15"/>
                <c:pt idx="0">
                  <c:v>2.843850213367674</c:v>
                </c:pt>
                <c:pt idx="1">
                  <c:v>2.6787624365576663</c:v>
                </c:pt>
                <c:pt idx="2">
                  <c:v>2.5792278095376813</c:v>
                </c:pt>
                <c:pt idx="3">
                  <c:v>2.3573871886942626</c:v>
                </c:pt>
                <c:pt idx="4">
                  <c:v>2.3476397074292126</c:v>
                </c:pt>
                <c:pt idx="5">
                  <c:v>2.2093903765312257</c:v>
                </c:pt>
                <c:pt idx="6">
                  <c:v>2.0835103687687462</c:v>
                </c:pt>
                <c:pt idx="7">
                  <c:v>1.7510168998693127</c:v>
                </c:pt>
                <c:pt idx="8">
                  <c:v>1.5859444854164899</c:v>
                </c:pt>
                <c:pt idx="9">
                  <c:v>1.5530330802711474</c:v>
                </c:pt>
                <c:pt idx="10">
                  <c:v>1.5286021069006916</c:v>
                </c:pt>
                <c:pt idx="11">
                  <c:v>1.5466438861063843</c:v>
                </c:pt>
                <c:pt idx="12">
                  <c:v>1.3988960810185345</c:v>
                </c:pt>
                <c:pt idx="13">
                  <c:v>1.3999248647920668</c:v>
                </c:pt>
                <c:pt idx="14">
                  <c:v>1.3619439186641233</c:v>
                </c:pt>
              </c:numCache>
            </c:numRef>
          </c:val>
        </c:ser>
        <c:ser>
          <c:idx val="2"/>
          <c:order val="1"/>
          <c:tx>
            <c:strRef>
              <c:f>AUX!$A$274</c:f>
              <c:strCache>
                <c:ptCount val="1"/>
                <c:pt idx="0">
                  <c:v>0</c:v>
                </c:pt>
              </c:strCache>
            </c:strRef>
          </c:tx>
          <c:spPr>
            <a:ln w="19050">
              <a:solidFill>
                <a:schemeClr val="tx2"/>
              </a:solidFill>
            </a:ln>
          </c:spPr>
          <c:marker>
            <c:symbol val="none"/>
          </c:marker>
          <c:cat>
            <c:strRef>
              <c:f>AUX!$B$272:$P$272</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AUX!$B$274:$P$274</c:f>
              <c:numCache>
                <c:formatCode>0.0</c:formatCode>
                <c:ptCount val="15"/>
              </c:numCache>
            </c:numRef>
          </c:val>
        </c:ser>
        <c:ser>
          <c:idx val="3"/>
          <c:order val="2"/>
          <c:tx>
            <c:strRef>
              <c:f>AUX!$A$275</c:f>
              <c:strCache>
                <c:ptCount val="1"/>
                <c:pt idx="0">
                  <c:v>0</c:v>
                </c:pt>
              </c:strCache>
            </c:strRef>
          </c:tx>
          <c:spPr>
            <a:ln w="38100">
              <a:solidFill>
                <a:srgbClr val="008080"/>
              </a:solidFill>
            </a:ln>
          </c:spPr>
          <c:marker>
            <c:symbol val="none"/>
          </c:marker>
          <c:cat>
            <c:strRef>
              <c:f>AUX!$B$272:$P$272</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AUX!$B$275:$P$275</c:f>
              <c:numCache>
                <c:formatCode>0.0</c:formatCode>
                <c:ptCount val="15"/>
              </c:numCache>
            </c:numRef>
          </c:val>
        </c:ser>
        <c:marker val="1"/>
        <c:axId val="274641280"/>
        <c:axId val="274642816"/>
      </c:lineChart>
      <c:catAx>
        <c:axId val="274641280"/>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74642816"/>
        <c:crosses val="autoZero"/>
        <c:auto val="1"/>
        <c:lblAlgn val="ctr"/>
        <c:lblOffset val="100"/>
        <c:tickLblSkip val="2"/>
        <c:tickMarkSkip val="1"/>
      </c:catAx>
      <c:valAx>
        <c:axId val="274642816"/>
        <c:scaling>
          <c:orientation val="minMax"/>
        </c:scaling>
        <c:axPos val="l"/>
        <c:majorGridlines>
          <c:spPr>
            <a:ln w="3175">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/1000 nados vivos</a:t>
                </a:r>
              </a:p>
            </c:rich>
          </c:tx>
          <c:layout>
            <c:manualLayout>
              <c:xMode val="edge"/>
              <c:yMode val="edge"/>
              <c:x val="2.6548672566373077E-3"/>
              <c:y val="6.2932098765432183E-3"/>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641280"/>
        <c:crosses val="autoZero"/>
        <c:crossBetween val="between"/>
        <c:majorUnit val="1"/>
        <c:minorUnit val="0.2"/>
      </c:valAx>
    </c:plotArea>
    <c:legend>
      <c:legendPos val="b"/>
      <c:layout>
        <c:manualLayout>
          <c:xMode val="edge"/>
          <c:yMode val="edge"/>
          <c:x val="1.4246498599439775E-2"/>
          <c:y val="0.92349344506743858"/>
          <c:w val="0.97150676937441638"/>
          <c:h val="5.9385594042128127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0336379116003552"/>
          <c:y val="4.6260498687663965E-2"/>
          <c:w val="0.87588459601413082"/>
          <c:h val="0.74588452380952375"/>
        </c:manualLayout>
      </c:layout>
      <c:lineChart>
        <c:grouping val="standard"/>
        <c:ser>
          <c:idx val="1"/>
          <c:order val="0"/>
          <c:tx>
            <c:strRef>
              <c:f>AUX!$A$279</c:f>
              <c:strCache>
                <c:ptCount val="1"/>
                <c:pt idx="0">
                  <c:v>Continente</c:v>
                </c:pt>
              </c:strCache>
            </c:strRef>
          </c:tx>
          <c:spPr>
            <a:ln w="19050">
              <a:solidFill>
                <a:srgbClr val="FF0000"/>
              </a:solidFill>
            </a:ln>
          </c:spPr>
          <c:marker>
            <c:symbol val="none"/>
          </c:marker>
          <c:cat>
            <c:strRef>
              <c:f>AUX!$B$278:$P$278</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AUX!$B$279:$P$279</c:f>
              <c:numCache>
                <c:formatCode>0.0</c:formatCode>
                <c:ptCount val="15"/>
                <c:pt idx="0">
                  <c:v>2.3451506199025327</c:v>
                </c:pt>
                <c:pt idx="1">
                  <c:v>2.1330886068885122</c:v>
                </c:pt>
                <c:pt idx="2">
                  <c:v>2.0573134763135856</c:v>
                </c:pt>
                <c:pt idx="3">
                  <c:v>1.995880648159962</c:v>
                </c:pt>
                <c:pt idx="4">
                  <c:v>1.872014000469528</c:v>
                </c:pt>
                <c:pt idx="5">
                  <c:v>1.6702866598317871</c:v>
                </c:pt>
                <c:pt idx="6">
                  <c:v>1.4288726698202578</c:v>
                </c:pt>
                <c:pt idx="7">
                  <c:v>1.322848533842875</c:v>
                </c:pt>
                <c:pt idx="8">
                  <c:v>1.2335123775461587</c:v>
                </c:pt>
                <c:pt idx="9">
                  <c:v>1.2564237580734392</c:v>
                </c:pt>
                <c:pt idx="10">
                  <c:v>1.2309981568846278</c:v>
                </c:pt>
                <c:pt idx="11">
                  <c:v>1.2366261806507617</c:v>
                </c:pt>
                <c:pt idx="12">
                  <c:v>1.0603977700560248</c:v>
                </c:pt>
                <c:pt idx="13">
                  <c:v>0.91792541767378566</c:v>
                </c:pt>
                <c:pt idx="14">
                  <c:v>0.8933180541775434</c:v>
                </c:pt>
              </c:numCache>
            </c:numRef>
          </c:val>
        </c:ser>
        <c:ser>
          <c:idx val="2"/>
          <c:order val="1"/>
          <c:tx>
            <c:strRef>
              <c:f>AUX!$A$280</c:f>
              <c:strCache>
                <c:ptCount val="1"/>
                <c:pt idx="0">
                  <c:v>0</c:v>
                </c:pt>
              </c:strCache>
            </c:strRef>
          </c:tx>
          <c:spPr>
            <a:ln w="19050">
              <a:solidFill>
                <a:schemeClr val="tx2"/>
              </a:solidFill>
            </a:ln>
          </c:spPr>
          <c:marker>
            <c:symbol val="none"/>
          </c:marker>
          <c:cat>
            <c:strRef>
              <c:f>AUX!$B$278:$P$278</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AUX!$B$280:$P$280</c:f>
              <c:numCache>
                <c:formatCode>0.0</c:formatCode>
                <c:ptCount val="15"/>
              </c:numCache>
            </c:numRef>
          </c:val>
        </c:ser>
        <c:ser>
          <c:idx val="3"/>
          <c:order val="2"/>
          <c:tx>
            <c:strRef>
              <c:f>AUX!$A$281</c:f>
              <c:strCache>
                <c:ptCount val="1"/>
                <c:pt idx="0">
                  <c:v>0</c:v>
                </c:pt>
              </c:strCache>
            </c:strRef>
          </c:tx>
          <c:spPr>
            <a:ln w="38100">
              <a:solidFill>
                <a:srgbClr val="008080"/>
              </a:solidFill>
            </a:ln>
          </c:spPr>
          <c:marker>
            <c:symbol val="none"/>
          </c:marker>
          <c:cat>
            <c:strRef>
              <c:f>AUX!$B$278:$P$278</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AUX!$B$281:$P$281</c:f>
              <c:numCache>
                <c:formatCode>0.0</c:formatCode>
                <c:ptCount val="15"/>
              </c:numCache>
            </c:numRef>
          </c:val>
        </c:ser>
        <c:marker val="1"/>
        <c:axId val="274750464"/>
        <c:axId val="274756352"/>
      </c:lineChart>
      <c:catAx>
        <c:axId val="274750464"/>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74756352"/>
        <c:crosses val="autoZero"/>
        <c:auto val="1"/>
        <c:lblAlgn val="ctr"/>
        <c:lblOffset val="100"/>
        <c:tickLblSkip val="2"/>
        <c:tickMarkSkip val="1"/>
      </c:catAx>
      <c:valAx>
        <c:axId val="274756352"/>
        <c:scaling>
          <c:orientation val="minMax"/>
        </c:scaling>
        <c:axPos val="l"/>
        <c:majorGridlines>
          <c:spPr>
            <a:ln w="3175">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/1000 nados vivos</a:t>
                </a:r>
              </a:p>
            </c:rich>
          </c:tx>
          <c:layout>
            <c:manualLayout>
              <c:xMode val="edge"/>
              <c:yMode val="edge"/>
              <c:x val="2.6548672566373099E-3"/>
              <c:y val="6.2932098765432183E-3"/>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750464"/>
        <c:crosses val="autoZero"/>
        <c:crossBetween val="between"/>
        <c:majorUnit val="1"/>
        <c:minorUnit val="0.2"/>
      </c:valAx>
    </c:plotArea>
    <c:legend>
      <c:legendPos val="b"/>
      <c:layout>
        <c:manualLayout>
          <c:xMode val="edge"/>
          <c:yMode val="edge"/>
          <c:x val="1.4246498599439775E-2"/>
          <c:y val="0.92349344506743858"/>
          <c:w val="0.97150676937441638"/>
          <c:h val="5.9385594042128176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0336379116003552"/>
          <c:y val="4.6260498687663965E-2"/>
          <c:w val="0.87588459601413082"/>
          <c:h val="0.74588452380952375"/>
        </c:manualLayout>
      </c:layout>
      <c:lineChart>
        <c:grouping val="standard"/>
        <c:ser>
          <c:idx val="1"/>
          <c:order val="0"/>
          <c:tx>
            <c:strRef>
              <c:f>AUX!$A$285</c:f>
              <c:strCache>
                <c:ptCount val="1"/>
                <c:pt idx="0">
                  <c:v>Continente</c:v>
                </c:pt>
              </c:strCache>
            </c:strRef>
          </c:tx>
          <c:spPr>
            <a:ln w="19050">
              <a:solidFill>
                <a:srgbClr val="FF0000"/>
              </a:solidFill>
            </a:ln>
          </c:spPr>
          <c:marker>
            <c:symbol val="none"/>
          </c:marker>
          <c:cat>
            <c:strRef>
              <c:f>AUX!$B$284:$P$284</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AUX!$B$285:$P$285</c:f>
              <c:numCache>
                <c:formatCode>0.0</c:formatCode>
                <c:ptCount val="15"/>
                <c:pt idx="0">
                  <c:v>4.2022749488466529</c:v>
                </c:pt>
                <c:pt idx="1">
                  <c:v>3.8513329874237145</c:v>
                </c:pt>
                <c:pt idx="2">
                  <c:v>3.7364869767104403</c:v>
                </c:pt>
                <c:pt idx="3">
                  <c:v>3.5537850535186712</c:v>
                </c:pt>
                <c:pt idx="4">
                  <c:v>3.4636874903153472</c:v>
                </c:pt>
                <c:pt idx="5">
                  <c:v>3.2087122906416181</c:v>
                </c:pt>
                <c:pt idx="6">
                  <c:v>2.9685043570489427</c:v>
                </c:pt>
                <c:pt idx="7">
                  <c:v>2.7594821350616741</c:v>
                </c:pt>
                <c:pt idx="8">
                  <c:v>2.7855697075802643</c:v>
                </c:pt>
                <c:pt idx="9">
                  <c:v>2.8446665824787152</c:v>
                </c:pt>
                <c:pt idx="10">
                  <c:v>2.7688219185473972</c:v>
                </c:pt>
                <c:pt idx="11">
                  <c:v>2.6967511877728958</c:v>
                </c:pt>
                <c:pt idx="12">
                  <c:v>2.5735458776756093</c:v>
                </c:pt>
                <c:pt idx="13">
                  <c:v>2.5029519277679184</c:v>
                </c:pt>
                <c:pt idx="14">
                  <c:v>2.4250924018641071</c:v>
                </c:pt>
              </c:numCache>
            </c:numRef>
          </c:val>
        </c:ser>
        <c:ser>
          <c:idx val="2"/>
          <c:order val="1"/>
          <c:tx>
            <c:strRef>
              <c:f>AUX!$A$286</c:f>
              <c:strCache>
                <c:ptCount val="1"/>
                <c:pt idx="0">
                  <c:v>0</c:v>
                </c:pt>
              </c:strCache>
            </c:strRef>
          </c:tx>
          <c:spPr>
            <a:ln w="19050">
              <a:solidFill>
                <a:schemeClr val="tx2"/>
              </a:solidFill>
            </a:ln>
          </c:spPr>
          <c:marker>
            <c:symbol val="none"/>
          </c:marker>
          <c:cat>
            <c:strRef>
              <c:f>AUX!$B$284:$P$284</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AUX!$B$286:$P$286</c:f>
              <c:numCache>
                <c:formatCode>0.0</c:formatCode>
                <c:ptCount val="15"/>
              </c:numCache>
            </c:numRef>
          </c:val>
        </c:ser>
        <c:ser>
          <c:idx val="3"/>
          <c:order val="2"/>
          <c:tx>
            <c:strRef>
              <c:f>AUX!$A$287</c:f>
              <c:strCache>
                <c:ptCount val="1"/>
                <c:pt idx="0">
                  <c:v>0</c:v>
                </c:pt>
              </c:strCache>
            </c:strRef>
          </c:tx>
          <c:spPr>
            <a:ln w="38100">
              <a:solidFill>
                <a:srgbClr val="008080"/>
              </a:solidFill>
            </a:ln>
          </c:spPr>
          <c:marker>
            <c:symbol val="none"/>
          </c:marker>
          <c:cat>
            <c:strRef>
              <c:f>AUX!$B$284:$P$284</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AUX!$B$287:$P$287</c:f>
              <c:numCache>
                <c:formatCode>0.0</c:formatCode>
                <c:ptCount val="15"/>
              </c:numCache>
            </c:numRef>
          </c:val>
        </c:ser>
        <c:marker val="1"/>
        <c:axId val="274790272"/>
        <c:axId val="274791808"/>
      </c:lineChart>
      <c:catAx>
        <c:axId val="274790272"/>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74791808"/>
        <c:crosses val="autoZero"/>
        <c:auto val="1"/>
        <c:lblAlgn val="ctr"/>
        <c:lblOffset val="100"/>
        <c:tickLblSkip val="2"/>
        <c:tickMarkSkip val="1"/>
      </c:catAx>
      <c:valAx>
        <c:axId val="274791808"/>
        <c:scaling>
          <c:orientation val="minMax"/>
        </c:scaling>
        <c:axPos val="l"/>
        <c:majorGridlines>
          <c:spPr>
            <a:ln w="3175">
              <a:solidFill>
                <a:schemeClr val="bg1">
                  <a:lumMod val="95000"/>
                </a:schemeClr>
              </a:solidFill>
            </a:ln>
          </c:spPr>
        </c:majorGridlines>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lang="en-US" sz="900" b="0" i="0" u="none" strike="noStrike" kern="1200" baseline="0">
                    <a:solidFill>
                      <a:sysClr val="windowText" lastClr="000000"/>
                    </a:solidFill>
                    <a:latin typeface="Arial" pitchFamily="34" charset="0"/>
                    <a:ea typeface="+mn-ea"/>
                    <a:cs typeface="Arial" pitchFamily="34" charset="0"/>
                  </a:defRPr>
                </a:pPr>
                <a:r>
                  <a:rPr lang="en-US" sz="900" b="0" i="0" baseline="0"/>
                  <a:t>/1000 (nv+fm 28+ sem)</a:t>
                </a:r>
              </a:p>
            </c:rich>
          </c:tx>
          <c:layout>
            <c:manualLayout>
              <c:xMode val="edge"/>
              <c:yMode val="edge"/>
              <c:x val="2.6548672566373099E-3"/>
              <c:y val="6.2932098765432183E-3"/>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790272"/>
        <c:crosses val="autoZero"/>
        <c:crossBetween val="between"/>
        <c:majorUnit val="1"/>
        <c:minorUnit val="0.2"/>
      </c:valAx>
    </c:plotArea>
    <c:legend>
      <c:legendPos val="b"/>
      <c:layout>
        <c:manualLayout>
          <c:xMode val="edge"/>
          <c:yMode val="edge"/>
          <c:x val="1.4246498599439775E-2"/>
          <c:y val="0.92349344506743858"/>
          <c:w val="0.97150676937441638"/>
          <c:h val="5.9385594042128176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4.3536723163841932E-2"/>
          <c:y val="3.3968026723932183E-2"/>
          <c:w val="0.83999693973634648"/>
          <c:h val="0.75008121693121765"/>
        </c:manualLayout>
      </c:layout>
      <c:barChart>
        <c:barDir val="bar"/>
        <c:grouping val="clustered"/>
        <c:ser>
          <c:idx val="1"/>
          <c:order val="0"/>
          <c:tx>
            <c:strRef>
              <c:f>AUX!$O$22</c:f>
              <c:strCache>
                <c:ptCount val="1"/>
                <c:pt idx="0">
                  <c:v>Mulheres (0)</c:v>
                </c:pt>
              </c:strCache>
            </c:strRef>
          </c:tx>
          <c:spPr>
            <a:solidFill>
              <a:srgbClr val="008080"/>
            </a:solidFill>
            <a:ln>
              <a:solidFill>
                <a:srgbClr val="008080"/>
              </a:solidFill>
            </a:ln>
          </c:spPr>
          <c:cat>
            <c:strRef>
              <c:f>AUX!$A$23:$A$40</c:f>
              <c:strCache>
                <c:ptCount val="18"/>
                <c:pt idx="0">
                  <c:v>00 - 04 </c:v>
                </c:pt>
                <c:pt idx="1">
                  <c:v>05 - 09</c:v>
                </c:pt>
                <c:pt idx="2">
                  <c:v>10 - 14</c:v>
                </c:pt>
                <c:pt idx="3">
                  <c:v>15 - 19 </c:v>
                </c:pt>
                <c:pt idx="4">
                  <c:v>20 - 24 </c:v>
                </c:pt>
                <c:pt idx="5">
                  <c:v>25 - 29 </c:v>
                </c:pt>
                <c:pt idx="6">
                  <c:v>30 - 34 </c:v>
                </c:pt>
                <c:pt idx="7">
                  <c:v>35 - 39 </c:v>
                </c:pt>
                <c:pt idx="8">
                  <c:v>40 - 44 </c:v>
                </c:pt>
                <c:pt idx="9">
                  <c:v>45 - 49 </c:v>
                </c:pt>
                <c:pt idx="10">
                  <c:v>50 - 54 </c:v>
                </c:pt>
                <c:pt idx="11">
                  <c:v>55 - 59 </c:v>
                </c:pt>
                <c:pt idx="12">
                  <c:v>60 - 64 </c:v>
                </c:pt>
                <c:pt idx="13">
                  <c:v>65 - 69 </c:v>
                </c:pt>
                <c:pt idx="14">
                  <c:v>70 - 74 </c:v>
                </c:pt>
                <c:pt idx="15">
                  <c:v>75 - 79 </c:v>
                </c:pt>
                <c:pt idx="16">
                  <c:v>80 - 84 </c:v>
                </c:pt>
                <c:pt idx="17">
                  <c:v>85+</c:v>
                </c:pt>
              </c:strCache>
            </c:strRef>
          </c:cat>
          <c:val>
            <c:numRef>
              <c:f>AUX!$O$23:$O$40</c:f>
              <c:numCache>
                <c:formatCod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ser>
          <c:idx val="0"/>
          <c:order val="1"/>
          <c:tx>
            <c:strRef>
              <c:f>AUX!$N$22</c:f>
              <c:strCache>
                <c:ptCount val="1"/>
                <c:pt idx="0">
                  <c:v>Homens (0)</c:v>
                </c:pt>
              </c:strCache>
            </c:strRef>
          </c:tx>
          <c:spPr>
            <a:solidFill>
              <a:schemeClr val="accent3">
                <a:lumMod val="40000"/>
                <a:lumOff val="60000"/>
              </a:schemeClr>
            </a:solidFill>
            <a:ln>
              <a:solidFill>
                <a:schemeClr val="accent3">
                  <a:lumMod val="20000"/>
                  <a:lumOff val="80000"/>
                </a:schemeClr>
              </a:solidFill>
            </a:ln>
          </c:spPr>
          <c:cat>
            <c:strRef>
              <c:f>AUX!$A$23:$A$40</c:f>
              <c:strCache>
                <c:ptCount val="18"/>
                <c:pt idx="0">
                  <c:v>00 - 04 </c:v>
                </c:pt>
                <c:pt idx="1">
                  <c:v>05 - 09</c:v>
                </c:pt>
                <c:pt idx="2">
                  <c:v>10 - 14</c:v>
                </c:pt>
                <c:pt idx="3">
                  <c:v>15 - 19 </c:v>
                </c:pt>
                <c:pt idx="4">
                  <c:v>20 - 24 </c:v>
                </c:pt>
                <c:pt idx="5">
                  <c:v>25 - 29 </c:v>
                </c:pt>
                <c:pt idx="6">
                  <c:v>30 - 34 </c:v>
                </c:pt>
                <c:pt idx="7">
                  <c:v>35 - 39 </c:v>
                </c:pt>
                <c:pt idx="8">
                  <c:v>40 - 44 </c:v>
                </c:pt>
                <c:pt idx="9">
                  <c:v>45 - 49 </c:v>
                </c:pt>
                <c:pt idx="10">
                  <c:v>50 - 54 </c:v>
                </c:pt>
                <c:pt idx="11">
                  <c:v>55 - 59 </c:v>
                </c:pt>
                <c:pt idx="12">
                  <c:v>60 - 64 </c:v>
                </c:pt>
                <c:pt idx="13">
                  <c:v>65 - 69 </c:v>
                </c:pt>
                <c:pt idx="14">
                  <c:v>70 - 74 </c:v>
                </c:pt>
                <c:pt idx="15">
                  <c:v>75 - 79 </c:v>
                </c:pt>
                <c:pt idx="16">
                  <c:v>80 - 84 </c:v>
                </c:pt>
                <c:pt idx="17">
                  <c:v>85+</c:v>
                </c:pt>
              </c:strCache>
            </c:strRef>
          </c:cat>
          <c:val>
            <c:numRef>
              <c:f>AUX!$N$23:$N$40</c:f>
              <c:numCache>
                <c:formatCod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ser>
          <c:idx val="3"/>
          <c:order val="2"/>
          <c:tx>
            <c:strRef>
              <c:f>AUX!$Q$22</c:f>
              <c:strCache>
                <c:ptCount val="1"/>
                <c:pt idx="0">
                  <c:v>Mulheres (0)</c:v>
                </c:pt>
              </c:strCache>
            </c:strRef>
          </c:tx>
          <c:spPr>
            <a:noFill/>
            <a:ln w="19050">
              <a:solidFill>
                <a:schemeClr val="accent2">
                  <a:lumMod val="60000"/>
                  <a:lumOff val="40000"/>
                </a:schemeClr>
              </a:solidFill>
            </a:ln>
          </c:spPr>
          <c:cat>
            <c:strRef>
              <c:f>AUX!$A$23:$A$40</c:f>
              <c:strCache>
                <c:ptCount val="18"/>
                <c:pt idx="0">
                  <c:v>00 - 04 </c:v>
                </c:pt>
                <c:pt idx="1">
                  <c:v>05 - 09</c:v>
                </c:pt>
                <c:pt idx="2">
                  <c:v>10 - 14</c:v>
                </c:pt>
                <c:pt idx="3">
                  <c:v>15 - 19 </c:v>
                </c:pt>
                <c:pt idx="4">
                  <c:v>20 - 24 </c:v>
                </c:pt>
                <c:pt idx="5">
                  <c:v>25 - 29 </c:v>
                </c:pt>
                <c:pt idx="6">
                  <c:v>30 - 34 </c:v>
                </c:pt>
                <c:pt idx="7">
                  <c:v>35 - 39 </c:v>
                </c:pt>
                <c:pt idx="8">
                  <c:v>40 - 44 </c:v>
                </c:pt>
                <c:pt idx="9">
                  <c:v>45 - 49 </c:v>
                </c:pt>
                <c:pt idx="10">
                  <c:v>50 - 54 </c:v>
                </c:pt>
                <c:pt idx="11">
                  <c:v>55 - 59 </c:v>
                </c:pt>
                <c:pt idx="12">
                  <c:v>60 - 64 </c:v>
                </c:pt>
                <c:pt idx="13">
                  <c:v>65 - 69 </c:v>
                </c:pt>
                <c:pt idx="14">
                  <c:v>70 - 74 </c:v>
                </c:pt>
                <c:pt idx="15">
                  <c:v>75 - 79 </c:v>
                </c:pt>
                <c:pt idx="16">
                  <c:v>80 - 84 </c:v>
                </c:pt>
                <c:pt idx="17">
                  <c:v>85+</c:v>
                </c:pt>
              </c:strCache>
            </c:strRef>
          </c:cat>
          <c:val>
            <c:numRef>
              <c:f>AUX!$Q$23:$Q$40</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ser>
          <c:idx val="2"/>
          <c:order val="3"/>
          <c:tx>
            <c:strRef>
              <c:f>AUX!$P$22</c:f>
              <c:strCache>
                <c:ptCount val="1"/>
                <c:pt idx="0">
                  <c:v>Homens (0)</c:v>
                </c:pt>
              </c:strCache>
            </c:strRef>
          </c:tx>
          <c:spPr>
            <a:noFill/>
            <a:ln w="19050">
              <a:solidFill>
                <a:schemeClr val="tx2">
                  <a:lumMod val="60000"/>
                  <a:lumOff val="40000"/>
                </a:schemeClr>
              </a:solidFill>
            </a:ln>
          </c:spPr>
          <c:cat>
            <c:strRef>
              <c:f>AUX!$A$23:$A$40</c:f>
              <c:strCache>
                <c:ptCount val="18"/>
                <c:pt idx="0">
                  <c:v>00 - 04 </c:v>
                </c:pt>
                <c:pt idx="1">
                  <c:v>05 - 09</c:v>
                </c:pt>
                <c:pt idx="2">
                  <c:v>10 - 14</c:v>
                </c:pt>
                <c:pt idx="3">
                  <c:v>15 - 19 </c:v>
                </c:pt>
                <c:pt idx="4">
                  <c:v>20 - 24 </c:v>
                </c:pt>
                <c:pt idx="5">
                  <c:v>25 - 29 </c:v>
                </c:pt>
                <c:pt idx="6">
                  <c:v>30 - 34 </c:v>
                </c:pt>
                <c:pt idx="7">
                  <c:v>35 - 39 </c:v>
                </c:pt>
                <c:pt idx="8">
                  <c:v>40 - 44 </c:v>
                </c:pt>
                <c:pt idx="9">
                  <c:v>45 - 49 </c:v>
                </c:pt>
                <c:pt idx="10">
                  <c:v>50 - 54 </c:v>
                </c:pt>
                <c:pt idx="11">
                  <c:v>55 - 59 </c:v>
                </c:pt>
                <c:pt idx="12">
                  <c:v>60 - 64 </c:v>
                </c:pt>
                <c:pt idx="13">
                  <c:v>65 - 69 </c:v>
                </c:pt>
                <c:pt idx="14">
                  <c:v>70 - 74 </c:v>
                </c:pt>
                <c:pt idx="15">
                  <c:v>75 - 79 </c:v>
                </c:pt>
                <c:pt idx="16">
                  <c:v>80 - 84 </c:v>
                </c:pt>
                <c:pt idx="17">
                  <c:v>85+</c:v>
                </c:pt>
              </c:strCache>
            </c:strRef>
          </c:cat>
          <c:val>
            <c:numRef>
              <c:f>AUX!$P$23:$P$40</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gapWidth val="0"/>
        <c:overlap val="100"/>
        <c:axId val="279730816"/>
        <c:axId val="279806336"/>
      </c:barChart>
      <c:catAx>
        <c:axId val="279730816"/>
        <c:scaling>
          <c:orientation val="minMax"/>
        </c:scaling>
        <c:axPos val="l"/>
        <c:numFmt formatCode="General" sourceLinked="1"/>
        <c:majorTickMark val="none"/>
        <c:tickLblPos val="high"/>
        <c:txPr>
          <a:bodyPr rot="0" vert="horz"/>
          <a:lstStyle/>
          <a:p>
            <a:pPr>
              <a:defRPr lang="en-US" sz="800" b="0" i="0" u="none" strike="noStrike" baseline="0">
                <a:solidFill>
                  <a:srgbClr val="333333"/>
                </a:solidFill>
                <a:latin typeface="Arial" pitchFamily="34" charset="0"/>
                <a:ea typeface="Calibri"/>
                <a:cs typeface="Arial" pitchFamily="34" charset="0"/>
              </a:defRPr>
            </a:pPr>
            <a:endParaRPr lang="pt-PT"/>
          </a:p>
        </c:txPr>
        <c:crossAx val="279806336"/>
        <c:crosses val="autoZero"/>
        <c:auto val="1"/>
        <c:lblAlgn val="ctr"/>
        <c:lblOffset val="0"/>
        <c:tickLblSkip val="1"/>
      </c:catAx>
      <c:valAx>
        <c:axId val="279806336"/>
        <c:scaling>
          <c:orientation val="minMax"/>
        </c:scaling>
        <c:axPos val="b"/>
        <c:majorGridlines>
          <c:spPr>
            <a:ln w="3175">
              <a:solidFill>
                <a:schemeClr val="bg1">
                  <a:lumMod val="95000"/>
                </a:schemeClr>
              </a:solidFill>
            </a:ln>
          </c:spPr>
        </c:majorGridlines>
        <c:title>
          <c:tx>
            <c:rich>
              <a:bodyPr/>
              <a:lstStyle/>
              <a:p>
                <a:pPr>
                  <a:defRPr lang="en-US" sz="900">
                    <a:latin typeface="Arial" pitchFamily="34" charset="0"/>
                    <a:cs typeface="Arial" pitchFamily="34" charset="0"/>
                  </a:defRPr>
                </a:pPr>
                <a:r>
                  <a:rPr lang="en-US" sz="900">
                    <a:latin typeface="Arial" pitchFamily="34" charset="0"/>
                    <a:cs typeface="Arial" pitchFamily="34" charset="0"/>
                  </a:rPr>
                  <a:t>%</a:t>
                </a:r>
              </a:p>
            </c:rich>
          </c:tx>
          <c:layout>
            <c:manualLayout>
              <c:xMode val="edge"/>
              <c:yMode val="edge"/>
              <c:x val="0.92133099906629257"/>
              <c:y val="0.80592106120427964"/>
            </c:manualLayout>
          </c:layout>
        </c:title>
        <c:numFmt formatCode="#,##0;[Black]#,##0" sourceLinked="0"/>
        <c:tickLblPos val="nextTo"/>
        <c:txPr>
          <a:bodyPr rot="0" vert="horz"/>
          <a:lstStyle/>
          <a:p>
            <a:pPr>
              <a:defRPr lang="en-US" sz="800" b="0" i="0" u="none" strike="noStrike" baseline="0">
                <a:solidFill>
                  <a:srgbClr val="000000"/>
                </a:solidFill>
                <a:latin typeface="Arial" pitchFamily="34" charset="0"/>
                <a:ea typeface="Calibri"/>
                <a:cs typeface="Arial" pitchFamily="34" charset="0"/>
              </a:defRPr>
            </a:pPr>
            <a:endParaRPr lang="pt-PT"/>
          </a:p>
        </c:txPr>
        <c:crossAx val="279730816"/>
        <c:crosses val="autoZero"/>
        <c:crossBetween val="between"/>
      </c:valAx>
    </c:plotArea>
    <c:legend>
      <c:legendPos val="b"/>
      <c:layout>
        <c:manualLayout>
          <c:xMode val="edge"/>
          <c:yMode val="edge"/>
          <c:x val="2.155767419962341E-2"/>
          <c:y val="0.87653492063492067"/>
          <c:w val="0.95482109227876577"/>
          <c:h val="0.10330634920634922"/>
        </c:manualLayout>
      </c:layout>
      <c:spPr>
        <a:noFill/>
        <a:ln w="6350">
          <a:solidFill>
            <a:schemeClr val="bg1">
              <a:lumMod val="95000"/>
            </a:schemeClr>
          </a:solidFill>
        </a:ln>
      </c:spPr>
      <c:txPr>
        <a:bodyPr/>
        <a:lstStyle/>
        <a:p>
          <a:pPr>
            <a:defRPr lang="en-US" sz="900" b="0" i="0" u="none" strike="noStrike" baseline="0">
              <a:solidFill>
                <a:srgbClr val="000000"/>
              </a:solidFill>
              <a:latin typeface="Arial" pitchFamily="34" charset="0"/>
              <a:ea typeface="Calibri"/>
              <a:cs typeface="Arial" pitchFamily="34" charset="0"/>
            </a:defRPr>
          </a:pPr>
          <a:endParaRPr lang="pt-PT"/>
        </a:p>
      </c:txPr>
    </c:legend>
    <c:plotVisOnly val="1"/>
    <c:dispBlanksAs val="gap"/>
  </c:chart>
  <c:spPr>
    <a:ln>
      <a:solidFill>
        <a:schemeClr val="bg1">
          <a:lumMod val="85000"/>
        </a:schemeClr>
      </a:solidFill>
    </a:ln>
  </c:spPr>
  <c:txPr>
    <a:bodyPr/>
    <a:lstStyle/>
    <a:p>
      <a:pPr>
        <a:defRPr sz="1000" b="0" i="0" u="none" strike="noStrike" baseline="0">
          <a:solidFill>
            <a:srgbClr val="000000"/>
          </a:solidFill>
          <a:latin typeface="Calibri"/>
          <a:ea typeface="Calibri"/>
          <a:cs typeface="Calibri"/>
        </a:defRPr>
      </a:pPr>
      <a:endParaRPr lang="pt-PT"/>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0336379116003552"/>
          <c:y val="4.6260498687663965E-2"/>
          <c:w val="0.87588459601413104"/>
          <c:h val="0.74588452380952375"/>
        </c:manualLayout>
      </c:layout>
      <c:lineChart>
        <c:grouping val="standard"/>
        <c:ser>
          <c:idx val="1"/>
          <c:order val="0"/>
          <c:tx>
            <c:strRef>
              <c:f>AUX!$A$291</c:f>
              <c:strCache>
                <c:ptCount val="1"/>
                <c:pt idx="0">
                  <c:v>Continente</c:v>
                </c:pt>
              </c:strCache>
            </c:strRef>
          </c:tx>
          <c:spPr>
            <a:ln w="19050">
              <a:solidFill>
                <a:srgbClr val="FF0000"/>
              </a:solidFill>
            </a:ln>
          </c:spPr>
          <c:marker>
            <c:symbol val="none"/>
          </c:marker>
          <c:cat>
            <c:strRef>
              <c:f>AUX!$B$290:$P$290</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AUX!$B$291:$P$291</c:f>
              <c:numCache>
                <c:formatCode>0.0</c:formatCode>
                <c:ptCount val="15"/>
                <c:pt idx="0">
                  <c:v>7.0341745217044203</c:v>
                </c:pt>
                <c:pt idx="1">
                  <c:v>6.5197786178439951</c:v>
                </c:pt>
                <c:pt idx="2">
                  <c:v>6.3060775351278151</c:v>
                </c:pt>
                <c:pt idx="3">
                  <c:v>5.9027945948563953</c:v>
                </c:pt>
                <c:pt idx="4">
                  <c:v>5.8031957074581699</c:v>
                </c:pt>
                <c:pt idx="5">
                  <c:v>5.4110133691168434</c:v>
                </c:pt>
                <c:pt idx="6">
                  <c:v>5.0458298162100421</c:v>
                </c:pt>
                <c:pt idx="7">
                  <c:v>4.5056671350776067</c:v>
                </c:pt>
                <c:pt idx="8">
                  <c:v>4.3670964340802731</c:v>
                </c:pt>
                <c:pt idx="9">
                  <c:v>4.3932818014449309</c:v>
                </c:pt>
                <c:pt idx="10">
                  <c:v>4.2931915984297637</c:v>
                </c:pt>
                <c:pt idx="11">
                  <c:v>4.2392241601423608</c:v>
                </c:pt>
                <c:pt idx="12">
                  <c:v>3.968841835451542</c:v>
                </c:pt>
                <c:pt idx="13">
                  <c:v>3.8993728479209233</c:v>
                </c:pt>
                <c:pt idx="14">
                  <c:v>3.7837423256867164</c:v>
                </c:pt>
              </c:numCache>
            </c:numRef>
          </c:val>
        </c:ser>
        <c:ser>
          <c:idx val="2"/>
          <c:order val="1"/>
          <c:tx>
            <c:strRef>
              <c:f>AUX!$A$292</c:f>
              <c:strCache>
                <c:ptCount val="1"/>
                <c:pt idx="0">
                  <c:v>0</c:v>
                </c:pt>
              </c:strCache>
            </c:strRef>
          </c:tx>
          <c:spPr>
            <a:ln w="19050">
              <a:solidFill>
                <a:schemeClr val="tx2"/>
              </a:solidFill>
            </a:ln>
          </c:spPr>
          <c:marker>
            <c:symbol val="none"/>
          </c:marker>
          <c:cat>
            <c:strRef>
              <c:f>AUX!$B$290:$P$290</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AUX!$B$292:$P$292</c:f>
              <c:numCache>
                <c:formatCode>0.0</c:formatCode>
                <c:ptCount val="15"/>
              </c:numCache>
            </c:numRef>
          </c:val>
        </c:ser>
        <c:ser>
          <c:idx val="3"/>
          <c:order val="2"/>
          <c:tx>
            <c:strRef>
              <c:f>AUX!$A$293</c:f>
              <c:strCache>
                <c:ptCount val="1"/>
                <c:pt idx="0">
                  <c:v>0</c:v>
                </c:pt>
              </c:strCache>
            </c:strRef>
          </c:tx>
          <c:spPr>
            <a:ln w="38100">
              <a:solidFill>
                <a:srgbClr val="008080"/>
              </a:solidFill>
            </a:ln>
          </c:spPr>
          <c:marker>
            <c:symbol val="none"/>
          </c:marker>
          <c:cat>
            <c:strRef>
              <c:f>AUX!$B$290:$P$290</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AUX!$B$293:$P$293</c:f>
              <c:numCache>
                <c:formatCode>0.0</c:formatCode>
                <c:ptCount val="15"/>
              </c:numCache>
            </c:numRef>
          </c:val>
        </c:ser>
        <c:marker val="1"/>
        <c:axId val="274830080"/>
        <c:axId val="274831616"/>
      </c:lineChart>
      <c:catAx>
        <c:axId val="274830080"/>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74831616"/>
        <c:crosses val="autoZero"/>
        <c:auto val="1"/>
        <c:lblAlgn val="ctr"/>
        <c:lblOffset val="100"/>
        <c:tickLblSkip val="2"/>
        <c:tickMarkSkip val="1"/>
      </c:catAx>
      <c:valAx>
        <c:axId val="274831616"/>
        <c:scaling>
          <c:orientation val="minMax"/>
        </c:scaling>
        <c:axPos val="l"/>
        <c:majorGridlines>
          <c:spPr>
            <a:ln w="3175">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i="0" baseline="0"/>
                  <a:t>/1000 (nv+fm 28+ sem)</a:t>
                </a:r>
              </a:p>
            </c:rich>
          </c:tx>
          <c:layout>
            <c:manualLayout>
              <c:xMode val="edge"/>
              <c:yMode val="edge"/>
              <c:x val="2.6548672566373121E-3"/>
              <c:y val="6.2932098765432183E-3"/>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830080"/>
        <c:crosses val="autoZero"/>
        <c:crossBetween val="between"/>
        <c:majorUnit val="1"/>
        <c:minorUnit val="0.2"/>
      </c:valAx>
    </c:plotArea>
    <c:legend>
      <c:legendPos val="b"/>
      <c:layout>
        <c:manualLayout>
          <c:xMode val="edge"/>
          <c:yMode val="edge"/>
          <c:x val="1.4246498599439775E-2"/>
          <c:y val="0.92349344506743858"/>
          <c:w val="0.97150676937441638"/>
          <c:h val="5.9385594042128224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0313912429378549"/>
          <c:y val="7.565856481481481E-2"/>
          <c:w val="0.87610922787193979"/>
          <c:h val="0.7164864969136"/>
        </c:manualLayout>
      </c:layout>
      <c:lineChart>
        <c:grouping val="standard"/>
        <c:ser>
          <c:idx val="1"/>
          <c:order val="0"/>
          <c:tx>
            <c:strRef>
              <c:f>AUX!$A$237</c:f>
              <c:strCache>
                <c:ptCount val="1"/>
                <c:pt idx="0">
                  <c:v>Continente</c:v>
                </c:pt>
              </c:strCache>
            </c:strRef>
          </c:tx>
          <c:spPr>
            <a:ln w="19050">
              <a:solidFill>
                <a:srgbClr val="FF0000"/>
              </a:solidFill>
            </a:ln>
          </c:spPr>
          <c:marker>
            <c:symbol val="none"/>
          </c:marker>
          <c:cat>
            <c:strRef>
              <c:f>AUX!$B$236:$L$236</c:f>
              <c:strCache>
                <c:ptCount val="11"/>
                <c:pt idx="0">
                  <c:v>00-02</c:v>
                </c:pt>
                <c:pt idx="1">
                  <c:v>01-03</c:v>
                </c:pt>
                <c:pt idx="2">
                  <c:v>02-04</c:v>
                </c:pt>
                <c:pt idx="3">
                  <c:v>03-05</c:v>
                </c:pt>
                <c:pt idx="4">
                  <c:v>04-06</c:v>
                </c:pt>
                <c:pt idx="5">
                  <c:v>05-07</c:v>
                </c:pt>
                <c:pt idx="6">
                  <c:v>06-08</c:v>
                </c:pt>
                <c:pt idx="7">
                  <c:v>07-09</c:v>
                </c:pt>
                <c:pt idx="8">
                  <c:v>08-10</c:v>
                </c:pt>
                <c:pt idx="9">
                  <c:v>09-11</c:v>
                </c:pt>
                <c:pt idx="10">
                  <c:v>10-12</c:v>
                </c:pt>
              </c:strCache>
            </c:strRef>
          </c:cat>
          <c:val>
            <c:numRef>
              <c:f>AUX!$B$237:$L$237</c:f>
              <c:numCache>
                <c:formatCode>0.0</c:formatCode>
                <c:ptCount val="11"/>
                <c:pt idx="0">
                  <c:v>6.027031394345542</c:v>
                </c:pt>
                <c:pt idx="1">
                  <c:v>6.3536333409161028</c:v>
                </c:pt>
                <c:pt idx="2">
                  <c:v>6.7345853279325727</c:v>
                </c:pt>
                <c:pt idx="3">
                  <c:v>6.7775217998408746</c:v>
                </c:pt>
                <c:pt idx="4">
                  <c:v>7.1021596256387838</c:v>
                </c:pt>
                <c:pt idx="5">
                  <c:v>7.8368182151450725</c:v>
                </c:pt>
                <c:pt idx="6">
                  <c:v>8.6653477400700041</c:v>
                </c:pt>
                <c:pt idx="7">
                  <c:v>8.9602006159018419</c:v>
                </c:pt>
                <c:pt idx="8">
                  <c:v>8.5187590237432396</c:v>
                </c:pt>
                <c:pt idx="9">
                  <c:v>8.0206834468631047</c:v>
                </c:pt>
                <c:pt idx="10">
                  <c:v>7.6956871933806834</c:v>
                </c:pt>
              </c:numCache>
            </c:numRef>
          </c:val>
        </c:ser>
        <c:ser>
          <c:idx val="2"/>
          <c:order val="1"/>
          <c:tx>
            <c:strRef>
              <c:f>AUX!$A$238</c:f>
              <c:strCache>
                <c:ptCount val="1"/>
                <c:pt idx="0">
                  <c:v>0</c:v>
                </c:pt>
              </c:strCache>
            </c:strRef>
          </c:tx>
          <c:spPr>
            <a:ln w="19050">
              <a:solidFill>
                <a:schemeClr val="tx2"/>
              </a:solidFill>
            </a:ln>
          </c:spPr>
          <c:marker>
            <c:symbol val="none"/>
          </c:marker>
          <c:cat>
            <c:strRef>
              <c:f>AUX!$B$236:$L$236</c:f>
              <c:strCache>
                <c:ptCount val="11"/>
                <c:pt idx="0">
                  <c:v>00-02</c:v>
                </c:pt>
                <c:pt idx="1">
                  <c:v>01-03</c:v>
                </c:pt>
                <c:pt idx="2">
                  <c:v>02-04</c:v>
                </c:pt>
                <c:pt idx="3">
                  <c:v>03-05</c:v>
                </c:pt>
                <c:pt idx="4">
                  <c:v>04-06</c:v>
                </c:pt>
                <c:pt idx="5">
                  <c:v>05-07</c:v>
                </c:pt>
                <c:pt idx="6">
                  <c:v>06-08</c:v>
                </c:pt>
                <c:pt idx="7">
                  <c:v>07-09</c:v>
                </c:pt>
                <c:pt idx="8">
                  <c:v>08-10</c:v>
                </c:pt>
                <c:pt idx="9">
                  <c:v>09-11</c:v>
                </c:pt>
                <c:pt idx="10">
                  <c:v>10-12</c:v>
                </c:pt>
              </c:strCache>
            </c:strRef>
          </c:cat>
          <c:val>
            <c:numRef>
              <c:f>AUX!$B$238:$L$238</c:f>
              <c:numCache>
                <c:formatCode>0.0</c:formatCode>
                <c:ptCount val="11"/>
              </c:numCache>
            </c:numRef>
          </c:val>
        </c:ser>
        <c:ser>
          <c:idx val="3"/>
          <c:order val="2"/>
          <c:tx>
            <c:strRef>
              <c:f>AUX!$A$239</c:f>
              <c:strCache>
                <c:ptCount val="1"/>
                <c:pt idx="0">
                  <c:v>0</c:v>
                </c:pt>
              </c:strCache>
            </c:strRef>
          </c:tx>
          <c:spPr>
            <a:ln w="38100">
              <a:solidFill>
                <a:srgbClr val="008080"/>
              </a:solidFill>
            </a:ln>
          </c:spPr>
          <c:marker>
            <c:symbol val="none"/>
          </c:marker>
          <c:cat>
            <c:strRef>
              <c:f>AUX!$B$236:$L$236</c:f>
              <c:strCache>
                <c:ptCount val="11"/>
                <c:pt idx="0">
                  <c:v>00-02</c:v>
                </c:pt>
                <c:pt idx="1">
                  <c:v>01-03</c:v>
                </c:pt>
                <c:pt idx="2">
                  <c:v>02-04</c:v>
                </c:pt>
                <c:pt idx="3">
                  <c:v>03-05</c:v>
                </c:pt>
                <c:pt idx="4">
                  <c:v>04-06</c:v>
                </c:pt>
                <c:pt idx="5">
                  <c:v>05-07</c:v>
                </c:pt>
                <c:pt idx="6">
                  <c:v>06-08</c:v>
                </c:pt>
                <c:pt idx="7">
                  <c:v>07-09</c:v>
                </c:pt>
                <c:pt idx="8">
                  <c:v>08-10</c:v>
                </c:pt>
                <c:pt idx="9">
                  <c:v>09-11</c:v>
                </c:pt>
                <c:pt idx="10">
                  <c:v>10-12</c:v>
                </c:pt>
              </c:strCache>
            </c:strRef>
          </c:cat>
          <c:val>
            <c:numRef>
              <c:f>AUX!$B$239:$L$239</c:f>
              <c:numCache>
                <c:formatCode>0.0</c:formatCode>
                <c:ptCount val="11"/>
              </c:numCache>
            </c:numRef>
          </c:val>
        </c:ser>
        <c:marker val="1"/>
        <c:axId val="274853248"/>
        <c:axId val="274863232"/>
      </c:lineChart>
      <c:catAx>
        <c:axId val="274853248"/>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74863232"/>
        <c:crosses val="autoZero"/>
        <c:auto val="1"/>
        <c:lblAlgn val="ctr"/>
        <c:lblOffset val="100"/>
        <c:tickLblSkip val="2"/>
        <c:tickMarkSkip val="1"/>
      </c:catAx>
      <c:valAx>
        <c:axId val="274863232"/>
        <c:scaling>
          <c:orientation val="minMax"/>
        </c:scaling>
        <c:axPos val="l"/>
        <c:majorGridlines>
          <c:spPr>
            <a:ln w="3175">
              <a:solidFill>
                <a:schemeClr val="bg1">
                  <a:lumMod val="95000"/>
                </a:schemeClr>
              </a:solidFill>
            </a:ln>
          </c:spPr>
        </c:majorGridlines>
        <c:title>
          <c:tx>
            <c:rich>
              <a:bodyPr rot="0" vert="horz"/>
              <a:lstStyle/>
              <a:p>
                <a:pPr>
                  <a:defRPr lang="en-US" sz="900" b="0">
                    <a:latin typeface="Arial" pitchFamily="34" charset="0"/>
                    <a:cs typeface="Arial" pitchFamily="34" charset="0"/>
                  </a:defRPr>
                </a:pPr>
                <a:r>
                  <a:rPr lang="en-US" sz="900" b="0">
                    <a:latin typeface="Arial" pitchFamily="34" charset="0"/>
                    <a:cs typeface="Arial" pitchFamily="34" charset="0"/>
                  </a:rPr>
                  <a:t>%</a:t>
                </a:r>
              </a:p>
            </c:rich>
          </c:tx>
          <c:layout>
            <c:manualLayout>
              <c:xMode val="edge"/>
              <c:yMode val="edge"/>
              <c:x val="2.6548672566373077E-3"/>
              <c:y val="6.2932098765432183E-3"/>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853248"/>
        <c:crosses val="autoZero"/>
        <c:crossBetween val="between"/>
        <c:majorUnit val="1"/>
        <c:minorUnit val="0.2"/>
      </c:valAx>
    </c:plotArea>
    <c:legend>
      <c:legendPos val="b"/>
      <c:layout>
        <c:manualLayout>
          <c:xMode val="edge"/>
          <c:yMode val="edge"/>
          <c:x val="1.4246498599439775E-2"/>
          <c:y val="0.92349344506743858"/>
          <c:w val="0.97150676937441638"/>
          <c:h val="5.9385594042128127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9.4394774011299726E-2"/>
          <c:y val="7.075887345679012E-2"/>
          <c:w val="0.88485357815442567"/>
          <c:h val="0.7213861882715995"/>
        </c:manualLayout>
      </c:layout>
      <c:lineChart>
        <c:grouping val="standard"/>
        <c:ser>
          <c:idx val="1"/>
          <c:order val="0"/>
          <c:tx>
            <c:strRef>
              <c:f>AUX!$A$243</c:f>
              <c:strCache>
                <c:ptCount val="1"/>
                <c:pt idx="0">
                  <c:v>Continente</c:v>
                </c:pt>
              </c:strCache>
            </c:strRef>
          </c:tx>
          <c:spPr>
            <a:ln w="19050">
              <a:solidFill>
                <a:srgbClr val="FF0000"/>
              </a:solidFill>
            </a:ln>
          </c:spPr>
          <c:marker>
            <c:symbol val="none"/>
          </c:marker>
          <c:cat>
            <c:strRef>
              <c:f>AUX!$B$242:$P$242</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AUX!$B$243:$P$243</c:f>
              <c:numCache>
                <c:formatCode>0.0</c:formatCode>
                <c:ptCount val="15"/>
                <c:pt idx="0">
                  <c:v>6.524442592732874</c:v>
                </c:pt>
                <c:pt idx="1">
                  <c:v>6.882311176702208</c:v>
                </c:pt>
                <c:pt idx="2">
                  <c:v>7.071939215186493</c:v>
                </c:pt>
                <c:pt idx="3">
                  <c:v>7.231042171712569</c:v>
                </c:pt>
                <c:pt idx="4">
                  <c:v>7.1993268066916878</c:v>
                </c:pt>
                <c:pt idx="5">
                  <c:v>7.3056344128911226</c:v>
                </c:pt>
                <c:pt idx="6">
                  <c:v>7.4430417992465374</c:v>
                </c:pt>
                <c:pt idx="7">
                  <c:v>7.5060470793485452</c:v>
                </c:pt>
                <c:pt idx="8">
                  <c:v>7.5629319740766601</c:v>
                </c:pt>
                <c:pt idx="9">
                  <c:v>7.6481880169833829</c:v>
                </c:pt>
                <c:pt idx="10">
                  <c:v>7.7140296589391104</c:v>
                </c:pt>
                <c:pt idx="11">
                  <c:v>7.9181966614537762</c:v>
                </c:pt>
                <c:pt idx="12">
                  <c:v>8.0821652838895535</c:v>
                </c:pt>
                <c:pt idx="13">
                  <c:v>8.3258316262519578</c:v>
                </c:pt>
                <c:pt idx="14">
                  <c:v>8.4403602548143795</c:v>
                </c:pt>
              </c:numCache>
            </c:numRef>
          </c:val>
        </c:ser>
        <c:ser>
          <c:idx val="2"/>
          <c:order val="1"/>
          <c:tx>
            <c:strRef>
              <c:f>AUX!$A$244</c:f>
              <c:strCache>
                <c:ptCount val="1"/>
                <c:pt idx="0">
                  <c:v>0</c:v>
                </c:pt>
              </c:strCache>
            </c:strRef>
          </c:tx>
          <c:spPr>
            <a:ln w="19050">
              <a:solidFill>
                <a:schemeClr val="tx2"/>
              </a:solidFill>
            </a:ln>
          </c:spPr>
          <c:marker>
            <c:symbol val="none"/>
          </c:marker>
          <c:cat>
            <c:strRef>
              <c:f>AUX!$B$242:$P$242</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AUX!$B$244:$P$244</c:f>
              <c:numCache>
                <c:formatCode>0.0</c:formatCode>
                <c:ptCount val="15"/>
              </c:numCache>
            </c:numRef>
          </c:val>
        </c:ser>
        <c:ser>
          <c:idx val="3"/>
          <c:order val="2"/>
          <c:tx>
            <c:strRef>
              <c:f>AUX!$A$245</c:f>
              <c:strCache>
                <c:ptCount val="1"/>
                <c:pt idx="0">
                  <c:v>0</c:v>
                </c:pt>
              </c:strCache>
            </c:strRef>
          </c:tx>
          <c:spPr>
            <a:ln w="38100">
              <a:solidFill>
                <a:srgbClr val="008080"/>
              </a:solidFill>
            </a:ln>
          </c:spPr>
          <c:marker>
            <c:symbol val="none"/>
          </c:marker>
          <c:cat>
            <c:strRef>
              <c:f>AUX!$B$242:$P$242</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AUX!$B$245:$P$245</c:f>
              <c:numCache>
                <c:formatCode>0.0</c:formatCode>
                <c:ptCount val="15"/>
              </c:numCache>
            </c:numRef>
          </c:val>
        </c:ser>
        <c:marker val="1"/>
        <c:axId val="274893056"/>
        <c:axId val="274919424"/>
      </c:lineChart>
      <c:catAx>
        <c:axId val="274893056"/>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74919424"/>
        <c:crosses val="autoZero"/>
        <c:auto val="1"/>
        <c:lblAlgn val="ctr"/>
        <c:lblOffset val="100"/>
        <c:tickLblSkip val="2"/>
        <c:tickMarkSkip val="1"/>
      </c:catAx>
      <c:valAx>
        <c:axId val="274919424"/>
        <c:scaling>
          <c:orientation val="minMax"/>
        </c:scaling>
        <c:axPos val="l"/>
        <c:majorGridlines>
          <c:spPr>
            <a:ln w="3175">
              <a:solidFill>
                <a:schemeClr val="bg1">
                  <a:lumMod val="95000"/>
                </a:schemeClr>
              </a:solidFill>
            </a:ln>
          </c:spPr>
        </c:majorGridlines>
        <c:title>
          <c:tx>
            <c:rich>
              <a:bodyPr rot="0" vert="horz"/>
              <a:lstStyle/>
              <a:p>
                <a:pPr>
                  <a:defRPr lang="en-US" sz="900" b="0">
                    <a:latin typeface="Arial" pitchFamily="34" charset="0"/>
                    <a:cs typeface="Arial" pitchFamily="34" charset="0"/>
                  </a:defRPr>
                </a:pPr>
                <a:r>
                  <a:rPr lang="en-US" sz="900" b="0">
                    <a:latin typeface="Arial" pitchFamily="34" charset="0"/>
                    <a:cs typeface="Arial" pitchFamily="34" charset="0"/>
                  </a:rPr>
                  <a:t>%</a:t>
                </a:r>
              </a:p>
            </c:rich>
          </c:tx>
          <c:layout>
            <c:manualLayout>
              <c:xMode val="edge"/>
              <c:yMode val="edge"/>
              <c:x val="2.6548672566373099E-3"/>
              <c:y val="6.2932098765432183E-3"/>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893056"/>
        <c:crosses val="autoZero"/>
        <c:crossBetween val="between"/>
        <c:majorUnit val="1"/>
        <c:minorUnit val="0.2"/>
      </c:valAx>
    </c:plotArea>
    <c:legend>
      <c:legendPos val="b"/>
      <c:layout>
        <c:manualLayout>
          <c:xMode val="edge"/>
          <c:yMode val="edge"/>
          <c:x val="1.4246498599439775E-2"/>
          <c:y val="0.92349344506743858"/>
          <c:w val="0.97150676937441638"/>
          <c:h val="5.9385594042128176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6.9025650118203413E-2"/>
          <c:y val="8.1500555555555562E-2"/>
          <c:w val="0.72919435538344279"/>
          <c:h val="0.76085777777777774"/>
        </c:manualLayout>
      </c:layout>
      <c:barChart>
        <c:barDir val="col"/>
        <c:grouping val="clustered"/>
        <c:ser>
          <c:idx val="0"/>
          <c:order val="0"/>
          <c:tx>
            <c:strRef>
              <c:f>AUX!$B$308</c:f>
              <c:strCache>
                <c:ptCount val="1"/>
                <c:pt idx="0">
                  <c:v>Continente</c:v>
                </c:pt>
              </c:strCache>
            </c:strRef>
          </c:tx>
          <c:spPr>
            <a:solidFill>
              <a:srgbClr val="FF0000"/>
            </a:solidFill>
            <a:ln>
              <a:solidFill>
                <a:srgbClr val="FF0000"/>
              </a:solidFill>
            </a:ln>
          </c:spPr>
          <c:dLbls>
            <c:txPr>
              <a:bodyPr/>
              <a:lstStyle/>
              <a:p>
                <a:pPr>
                  <a:defRPr lang="en-US" sz="600">
                    <a:solidFill>
                      <a:schemeClr val="bg1">
                        <a:lumMod val="50000"/>
                      </a:schemeClr>
                    </a:solidFill>
                    <a:latin typeface="Arial" pitchFamily="34" charset="0"/>
                    <a:cs typeface="Arial" pitchFamily="34" charset="0"/>
                  </a:defRPr>
                </a:pPr>
                <a:endParaRPr lang="pt-PT"/>
              </a:p>
            </c:txPr>
            <c:showVal val="1"/>
          </c:dLbls>
          <c:cat>
            <c:strRef>
              <c:f>AUX!$A$309:$A$317</c:f>
              <c:strCache>
                <c:ptCount val="9"/>
                <c:pt idx="0">
                  <c:v>Doenças infeciosas</c:v>
                </c:pt>
                <c:pt idx="1">
                  <c:v>Tumores malignos</c:v>
                </c:pt>
                <c:pt idx="2">
                  <c:v>Doenças endócrinas</c:v>
                </c:pt>
                <c:pt idx="3">
                  <c:v>Doenças ap circulatório</c:v>
                </c:pt>
                <c:pt idx="4">
                  <c:v>Doenças ap respiratório</c:v>
                </c:pt>
                <c:pt idx="5">
                  <c:v>Doenças ap digestivo</c:v>
                </c:pt>
                <c:pt idx="6">
                  <c:v>SSA não classificados</c:v>
                </c:pt>
                <c:pt idx="7">
                  <c:v>Causas externas</c:v>
                </c:pt>
                <c:pt idx="8">
                  <c:v>Outras causas</c:v>
                </c:pt>
              </c:strCache>
            </c:strRef>
          </c:cat>
          <c:val>
            <c:numRef>
              <c:f>AUX!$B$309:$B$317</c:f>
              <c:numCache>
                <c:formatCode>0.0</c:formatCode>
                <c:ptCount val="9"/>
                <c:pt idx="0">
                  <c:v>3.5590751866011288</c:v>
                </c:pt>
                <c:pt idx="1">
                  <c:v>37.691405222808825</c:v>
                </c:pt>
                <c:pt idx="2">
                  <c:v>4.1820903371968363</c:v>
                </c:pt>
                <c:pt idx="3">
                  <c:v>19.387301009365455</c:v>
                </c:pt>
                <c:pt idx="4">
                  <c:v>5.6769221433339396</c:v>
                </c:pt>
                <c:pt idx="5">
                  <c:v>5.9742702833909824</c:v>
                </c:pt>
                <c:pt idx="6">
                  <c:v>9.3836600117321041</c:v>
                </c:pt>
                <c:pt idx="7">
                  <c:v>7.7897121589093192</c:v>
                </c:pt>
                <c:pt idx="8">
                  <c:v>6.3555636466614001</c:v>
                </c:pt>
              </c:numCache>
            </c:numRef>
          </c:val>
        </c:ser>
        <c:ser>
          <c:idx val="1"/>
          <c:order val="1"/>
          <c:tx>
            <c:strRef>
              <c:f>AUX!$C$308</c:f>
              <c:strCache>
                <c:ptCount val="1"/>
                <c:pt idx="0">
                  <c:v>0</c:v>
                </c:pt>
              </c:strCache>
            </c:strRef>
          </c:tx>
          <c:spPr>
            <a:solidFill>
              <a:schemeClr val="tx2">
                <a:lumMod val="75000"/>
              </a:schemeClr>
            </a:solidFill>
            <a:ln>
              <a:solidFill>
                <a:schemeClr val="tx2">
                  <a:lumMod val="75000"/>
                </a:schemeClr>
              </a:solidFill>
            </a:ln>
          </c:spPr>
          <c:dLbls>
            <c:txPr>
              <a:bodyPr/>
              <a:lstStyle/>
              <a:p>
                <a:pPr>
                  <a:defRPr lang="en-US" sz="600">
                    <a:solidFill>
                      <a:schemeClr val="bg1">
                        <a:lumMod val="50000"/>
                      </a:schemeClr>
                    </a:solidFill>
                    <a:latin typeface="Arial" pitchFamily="34" charset="0"/>
                    <a:cs typeface="Arial" pitchFamily="34" charset="0"/>
                  </a:defRPr>
                </a:pPr>
                <a:endParaRPr lang="pt-PT"/>
              </a:p>
            </c:txPr>
            <c:showVal val="1"/>
          </c:dLbls>
          <c:cat>
            <c:strRef>
              <c:f>AUX!$A$309:$A$317</c:f>
              <c:strCache>
                <c:ptCount val="9"/>
                <c:pt idx="0">
                  <c:v>Doenças infeciosas</c:v>
                </c:pt>
                <c:pt idx="1">
                  <c:v>Tumores malignos</c:v>
                </c:pt>
                <c:pt idx="2">
                  <c:v>Doenças endócrinas</c:v>
                </c:pt>
                <c:pt idx="3">
                  <c:v>Doenças ap circulatório</c:v>
                </c:pt>
                <c:pt idx="4">
                  <c:v>Doenças ap respiratório</c:v>
                </c:pt>
                <c:pt idx="5">
                  <c:v>Doenças ap digestivo</c:v>
                </c:pt>
                <c:pt idx="6">
                  <c:v>SSA não classificados</c:v>
                </c:pt>
                <c:pt idx="7">
                  <c:v>Causas externas</c:v>
                </c:pt>
                <c:pt idx="8">
                  <c:v>Outras causas</c:v>
                </c:pt>
              </c:strCache>
            </c:strRef>
          </c:cat>
          <c:val>
            <c:numRef>
              <c:f>AUX!$C$309:$C$317</c:f>
              <c:numCache>
                <c:formatCode>0.0</c:formatCode>
                <c:ptCount val="9"/>
              </c:numCache>
            </c:numRef>
          </c:val>
        </c:ser>
        <c:ser>
          <c:idx val="2"/>
          <c:order val="2"/>
          <c:tx>
            <c:strRef>
              <c:f>AUX!$D$308</c:f>
              <c:strCache>
                <c:ptCount val="1"/>
                <c:pt idx="0">
                  <c:v>0</c:v>
                </c:pt>
              </c:strCache>
            </c:strRef>
          </c:tx>
          <c:spPr>
            <a:solidFill>
              <a:srgbClr val="008080"/>
            </a:solidFill>
            <a:ln>
              <a:solidFill>
                <a:srgbClr val="008080"/>
              </a:solidFill>
            </a:ln>
          </c:spPr>
          <c:dLbls>
            <c:txPr>
              <a:bodyPr/>
              <a:lstStyle/>
              <a:p>
                <a:pPr>
                  <a:defRPr lang="en-US" sz="600">
                    <a:solidFill>
                      <a:schemeClr val="bg1">
                        <a:lumMod val="50000"/>
                      </a:schemeClr>
                    </a:solidFill>
                    <a:latin typeface="Arial" pitchFamily="34" charset="0"/>
                    <a:cs typeface="Arial" pitchFamily="34" charset="0"/>
                  </a:defRPr>
                </a:pPr>
                <a:endParaRPr lang="pt-PT"/>
              </a:p>
            </c:txPr>
            <c:showVal val="1"/>
          </c:dLbls>
          <c:cat>
            <c:strRef>
              <c:f>AUX!$A$309:$A$317</c:f>
              <c:strCache>
                <c:ptCount val="9"/>
                <c:pt idx="0">
                  <c:v>Doenças infeciosas</c:v>
                </c:pt>
                <c:pt idx="1">
                  <c:v>Tumores malignos</c:v>
                </c:pt>
                <c:pt idx="2">
                  <c:v>Doenças endócrinas</c:v>
                </c:pt>
                <c:pt idx="3">
                  <c:v>Doenças ap circulatório</c:v>
                </c:pt>
                <c:pt idx="4">
                  <c:v>Doenças ap respiratório</c:v>
                </c:pt>
                <c:pt idx="5">
                  <c:v>Doenças ap digestivo</c:v>
                </c:pt>
                <c:pt idx="6">
                  <c:v>SSA não classificados</c:v>
                </c:pt>
                <c:pt idx="7">
                  <c:v>Causas externas</c:v>
                </c:pt>
                <c:pt idx="8">
                  <c:v>Outras causas</c:v>
                </c:pt>
              </c:strCache>
            </c:strRef>
          </c:cat>
          <c:val>
            <c:numRef>
              <c:f>AUX!$D$309:$D$317</c:f>
              <c:numCache>
                <c:formatCode>0.0</c:formatCode>
                <c:ptCount val="9"/>
              </c:numCache>
            </c:numRef>
          </c:val>
        </c:ser>
        <c:axId val="274985728"/>
        <c:axId val="274987264"/>
      </c:barChart>
      <c:catAx>
        <c:axId val="274985728"/>
        <c:scaling>
          <c:orientation val="minMax"/>
        </c:scaling>
        <c:axPos val="b"/>
        <c:tickLblPos val="nextTo"/>
        <c:txPr>
          <a:bodyPr/>
          <a:lstStyle/>
          <a:p>
            <a:pPr>
              <a:defRPr lang="en-US" sz="900">
                <a:latin typeface="Arial" pitchFamily="34" charset="0"/>
                <a:cs typeface="Arial" pitchFamily="34" charset="0"/>
              </a:defRPr>
            </a:pPr>
            <a:endParaRPr lang="pt-PT"/>
          </a:p>
        </c:txPr>
        <c:crossAx val="274987264"/>
        <c:crosses val="autoZero"/>
        <c:auto val="1"/>
        <c:lblAlgn val="ctr"/>
        <c:lblOffset val="100"/>
      </c:catAx>
      <c:valAx>
        <c:axId val="274987264"/>
        <c:scaling>
          <c:orientation val="minMax"/>
        </c:scaling>
        <c:axPos val="l"/>
        <c:majorGridlines>
          <c:spPr>
            <a:ln w="3175">
              <a:solidFill>
                <a:schemeClr val="bg1">
                  <a:lumMod val="95000"/>
                </a:schemeClr>
              </a:solidFill>
            </a:ln>
          </c:spPr>
        </c:majorGridlines>
        <c:title>
          <c:tx>
            <c:rich>
              <a:bodyPr rot="0" vert="horz"/>
              <a:lstStyle/>
              <a:p>
                <a:pPr>
                  <a:defRPr lang="en-US" sz="1000">
                    <a:latin typeface="Arial" pitchFamily="34" charset="0"/>
                    <a:cs typeface="Arial" pitchFamily="34" charset="0"/>
                  </a:defRPr>
                </a:pPr>
                <a:r>
                  <a:rPr lang="en-US" sz="1000">
                    <a:latin typeface="Arial" pitchFamily="34" charset="0"/>
                    <a:cs typeface="Arial" pitchFamily="34" charset="0"/>
                  </a:rPr>
                  <a:t>%</a:t>
                </a:r>
              </a:p>
            </c:rich>
          </c:tx>
          <c:layout>
            <c:manualLayout>
              <c:xMode val="edge"/>
              <c:yMode val="edge"/>
              <c:x val="6.8229314420803783E-3"/>
              <c:y val="3.0781944444445652E-2"/>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74985728"/>
        <c:crosses val="autoZero"/>
        <c:crossBetween val="between"/>
      </c:valAx>
    </c:plotArea>
    <c:legend>
      <c:legendPos val="r"/>
      <c:layout>
        <c:manualLayout>
          <c:xMode val="edge"/>
          <c:yMode val="edge"/>
          <c:x val="0.80916245177993618"/>
          <c:y val="0.55779960317463584"/>
          <c:w val="0.17950981987111544"/>
          <c:h val="0.2911748866213153"/>
        </c:manualLayout>
      </c:layout>
      <c:spPr>
        <a:ln w="3175">
          <a:solidFill>
            <a:schemeClr val="bg1">
              <a:lumMod val="95000"/>
            </a:schemeClr>
          </a:solidFill>
        </a:ln>
      </c:spPr>
      <c:txPr>
        <a:bodyPr/>
        <a:lstStyle/>
        <a:p>
          <a:pPr>
            <a:defRPr lang="en-US" sz="1000">
              <a:latin typeface="Arial" pitchFamily="34" charset="0"/>
              <a:cs typeface="Arial" pitchFamily="34" charset="0"/>
            </a:defRPr>
          </a:pPr>
          <a:endParaRPr lang="pt-PT"/>
        </a:p>
      </c:txPr>
    </c:legend>
    <c:plotVisOnly val="1"/>
    <c:dispBlanksAs val="gap"/>
  </c:chart>
  <c:spPr>
    <a:ln w="3175">
      <a:solidFill>
        <a:schemeClr val="bg1">
          <a:lumMod val="75000"/>
        </a:schemeClr>
      </a:solidFill>
    </a:ln>
  </c:spPr>
  <c:printSettings>
    <c:headerFooter/>
    <c:pageMargins b="0.75000000000001465" l="0.70000000000000062" r="0.70000000000000062" t="0.75000000000001465"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lang="en-US" sz="1000">
                <a:latin typeface="Arial" pitchFamily="34" charset="0"/>
                <a:cs typeface="Arial" pitchFamily="34" charset="0"/>
              </a:defRPr>
            </a:pPr>
            <a:r>
              <a:rPr lang="pt-PT" sz="1000">
                <a:latin typeface="Arial" pitchFamily="34" charset="0"/>
                <a:cs typeface="Arial" pitchFamily="34" charset="0"/>
              </a:rPr>
              <a:t>5-24 anos</a:t>
            </a:r>
          </a:p>
        </c:rich>
      </c:tx>
      <c:layout>
        <c:manualLayout>
          <c:xMode val="edge"/>
          <c:yMode val="edge"/>
          <c:x val="0.68815885416666678"/>
          <c:y val="2.2048611111111192E-2"/>
        </c:manualLayout>
      </c:layout>
    </c:title>
    <c:plotArea>
      <c:layout>
        <c:manualLayout>
          <c:layoutTarget val="inner"/>
          <c:xMode val="edge"/>
          <c:yMode val="edge"/>
          <c:x val="0.53275910222760614"/>
          <c:y val="0.12831006944444445"/>
          <c:w val="0.40315078403661081"/>
          <c:h val="0.83200243055559686"/>
        </c:manualLayout>
      </c:layout>
      <c:doughnutChart>
        <c:varyColors val="1"/>
        <c:ser>
          <c:idx val="0"/>
          <c:order val="0"/>
          <c:dPt>
            <c:idx val="9"/>
            <c:spPr>
              <a:solidFill>
                <a:schemeClr val="bg1">
                  <a:lumMod val="85000"/>
                </a:schemeClr>
              </a:solidFill>
            </c:spPr>
          </c:dPt>
          <c:dLbls>
            <c:numFmt formatCode="0.0%" sourceLinked="0"/>
            <c:txPr>
              <a:bodyPr/>
              <a:lstStyle/>
              <a:p>
                <a:pPr>
                  <a:defRPr lang="en-US" sz="900" b="1">
                    <a:latin typeface="Arial" pitchFamily="34" charset="0"/>
                    <a:cs typeface="Arial" pitchFamily="34" charset="0"/>
                  </a:defRPr>
                </a:pPr>
                <a:endParaRPr lang="pt-PT"/>
              </a:p>
            </c:txPr>
            <c:showPercent val="1"/>
            <c:showLeaderLines val="1"/>
          </c:dLbls>
          <c:cat>
            <c:strRef>
              <c:f>AUX!$A$321:$A$330</c:f>
              <c:strCache>
                <c:ptCount val="9"/>
                <c:pt idx="0">
                  <c:v>Doenças infeciosas</c:v>
                </c:pt>
                <c:pt idx="1">
                  <c:v>Tumores malignos</c:v>
                </c:pt>
                <c:pt idx="2">
                  <c:v>Doenças endócrinas</c:v>
                </c:pt>
                <c:pt idx="3">
                  <c:v>Doenças aparelho circulatório</c:v>
                </c:pt>
                <c:pt idx="4">
                  <c:v>Doenças do aparelho respiratório</c:v>
                </c:pt>
                <c:pt idx="5">
                  <c:v>Doenças do aparelho digestivo</c:v>
                </c:pt>
                <c:pt idx="6">
                  <c:v>SSA não classificados</c:v>
                </c:pt>
                <c:pt idx="7">
                  <c:v>Causas externas</c:v>
                </c:pt>
                <c:pt idx="8">
                  <c:v>Outras causas</c:v>
                </c:pt>
              </c:strCache>
            </c:strRef>
          </c:cat>
          <c:val>
            <c:numRef>
              <c:f>AUX!$B$321:$B$330</c:f>
              <c:numCache>
                <c:formatCode>0.0</c:formatCode>
                <c:ptCount val="10"/>
                <c:pt idx="9">
                  <c:v>0</c:v>
                </c:pt>
              </c:numCache>
            </c:numRef>
          </c:val>
        </c:ser>
        <c:dLbls>
          <c:showVal val="1"/>
        </c:dLbls>
        <c:firstSliceAng val="0"/>
        <c:holeSize val="50"/>
      </c:doughnutChart>
      <c:spPr>
        <a:noFill/>
        <a:ln w="25400">
          <a:noFill/>
        </a:ln>
      </c:spPr>
    </c:plotArea>
    <c:legend>
      <c:legendPos val="l"/>
      <c:layout>
        <c:manualLayout>
          <c:xMode val="edge"/>
          <c:yMode val="edge"/>
          <c:x val="4.3430917289185023E-2"/>
          <c:y val="6.0723263888888934E-2"/>
          <c:w val="0.40842317787201987"/>
          <c:h val="0.89759027777777778"/>
        </c:manualLayout>
      </c:layout>
      <c:spPr>
        <a:ln w="3175">
          <a:solidFill>
            <a:schemeClr val="bg1">
              <a:lumMod val="85000"/>
            </a:schemeClr>
          </a:solidFill>
        </a:ln>
      </c:spPr>
      <c:txPr>
        <a:bodyPr/>
        <a:lstStyle/>
        <a:p>
          <a:pPr>
            <a:defRPr lang="en-US" sz="1000">
              <a:latin typeface="Arial" pitchFamily="34" charset="0"/>
              <a:cs typeface="Arial" pitchFamily="34" charset="0"/>
            </a:defRPr>
          </a:pPr>
          <a:endParaRPr lang="pt-PT"/>
        </a:p>
      </c:txPr>
    </c:legend>
    <c:plotVisOnly val="1"/>
    <c:dispBlanksAs val="zero"/>
  </c:chart>
  <c:spPr>
    <a:ln>
      <a:noFill/>
    </a:ln>
  </c:sp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lang="en-US" sz="1000">
                <a:latin typeface="Arial" pitchFamily="34" charset="0"/>
                <a:cs typeface="Arial" pitchFamily="34" charset="0"/>
              </a:defRPr>
            </a:pPr>
            <a:r>
              <a:rPr lang="en-US" sz="1000">
                <a:latin typeface="Arial" pitchFamily="34" charset="0"/>
                <a:cs typeface="Arial" pitchFamily="34" charset="0"/>
              </a:rPr>
              <a:t>25-44 anos</a:t>
            </a:r>
          </a:p>
        </c:rich>
      </c:tx>
    </c:title>
    <c:plotArea>
      <c:layout>
        <c:manualLayout>
          <c:layoutTarget val="inner"/>
          <c:xMode val="edge"/>
          <c:yMode val="edge"/>
          <c:x val="2.9172707202213616E-2"/>
          <c:y val="0.11422506621649769"/>
          <c:w val="0.92328529330945563"/>
          <c:h val="0.84685468594485969"/>
        </c:manualLayout>
      </c:layout>
      <c:doughnutChart>
        <c:varyColors val="1"/>
        <c:ser>
          <c:idx val="0"/>
          <c:order val="0"/>
          <c:dPt>
            <c:idx val="9"/>
            <c:spPr>
              <a:solidFill>
                <a:schemeClr val="bg1">
                  <a:lumMod val="85000"/>
                </a:schemeClr>
              </a:solidFill>
            </c:spPr>
          </c:dPt>
          <c:dLbls>
            <c:dLbl>
              <c:idx val="0"/>
              <c:layout>
                <c:manualLayout>
                  <c:x val="4.2598523340639134E-3"/>
                  <c:y val="-3.9735113151210456E-2"/>
                </c:manualLayout>
              </c:layout>
              <c:showPercent val="1"/>
            </c:dLbl>
            <c:numFmt formatCode="0.0%" sourceLinked="0"/>
            <c:txPr>
              <a:bodyPr/>
              <a:lstStyle/>
              <a:p>
                <a:pPr>
                  <a:defRPr lang="en-US" sz="900" b="1">
                    <a:latin typeface="Arial" pitchFamily="34" charset="0"/>
                    <a:cs typeface="Arial" pitchFamily="34" charset="0"/>
                  </a:defRPr>
                </a:pPr>
                <a:endParaRPr lang="pt-PT"/>
              </a:p>
            </c:txPr>
            <c:showPercent val="1"/>
            <c:showLeaderLines val="1"/>
          </c:dLbls>
          <c:cat>
            <c:strRef>
              <c:f>AUX!$A$321:$A$330</c:f>
              <c:strCache>
                <c:ptCount val="9"/>
                <c:pt idx="0">
                  <c:v>Doenças infeciosas</c:v>
                </c:pt>
                <c:pt idx="1">
                  <c:v>Tumores malignos</c:v>
                </c:pt>
                <c:pt idx="2">
                  <c:v>Doenças endócrinas</c:v>
                </c:pt>
                <c:pt idx="3">
                  <c:v>Doenças aparelho circulatório</c:v>
                </c:pt>
                <c:pt idx="4">
                  <c:v>Doenças do aparelho respiratório</c:v>
                </c:pt>
                <c:pt idx="5">
                  <c:v>Doenças do aparelho digestivo</c:v>
                </c:pt>
                <c:pt idx="6">
                  <c:v>SSA não classificados</c:v>
                </c:pt>
                <c:pt idx="7">
                  <c:v>Causas externas</c:v>
                </c:pt>
                <c:pt idx="8">
                  <c:v>Outras causas</c:v>
                </c:pt>
              </c:strCache>
            </c:strRef>
          </c:cat>
          <c:val>
            <c:numRef>
              <c:f>AUX!$C$321:$C$330</c:f>
              <c:numCache>
                <c:formatCode>0.0</c:formatCode>
                <c:ptCount val="10"/>
                <c:pt idx="9">
                  <c:v>0</c:v>
                </c:pt>
              </c:numCache>
            </c:numRef>
          </c:val>
        </c:ser>
        <c:dLbls>
          <c:showVal val="1"/>
        </c:dLbls>
        <c:firstSliceAng val="0"/>
        <c:holeSize val="50"/>
      </c:doughnutChart>
    </c:plotArea>
    <c:plotVisOnly val="1"/>
    <c:dispBlanksAs val="zero"/>
  </c:chart>
  <c:spPr>
    <a:ln>
      <a:noFill/>
    </a:ln>
  </c:sp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lang="en-US" sz="1000">
                <a:latin typeface="Arial" pitchFamily="34" charset="0"/>
                <a:cs typeface="Arial" pitchFamily="34" charset="0"/>
              </a:defRPr>
            </a:pPr>
            <a:r>
              <a:rPr lang="en-US" sz="1000">
                <a:latin typeface="Arial" pitchFamily="34" charset="0"/>
                <a:cs typeface="Arial" pitchFamily="34" charset="0"/>
              </a:rPr>
              <a:t>45-64 anos</a:t>
            </a:r>
          </a:p>
        </c:rich>
      </c:tx>
    </c:title>
    <c:plotArea>
      <c:layout>
        <c:manualLayout>
          <c:layoutTarget val="inner"/>
          <c:xMode val="edge"/>
          <c:yMode val="edge"/>
          <c:x val="2.9172707202213616E-2"/>
          <c:y val="0.11422506621649769"/>
          <c:w val="0.92328529330945563"/>
          <c:h val="0.84685468594485969"/>
        </c:manualLayout>
      </c:layout>
      <c:doughnutChart>
        <c:varyColors val="1"/>
        <c:ser>
          <c:idx val="0"/>
          <c:order val="0"/>
          <c:dPt>
            <c:idx val="9"/>
            <c:spPr>
              <a:solidFill>
                <a:schemeClr val="bg1">
                  <a:lumMod val="85000"/>
                </a:schemeClr>
              </a:solidFill>
            </c:spPr>
          </c:dPt>
          <c:dLbls>
            <c:dLbl>
              <c:idx val="0"/>
              <c:layout>
                <c:manualLayout>
                  <c:x val="2.1299261670318412E-2"/>
                  <c:y val="-4.4150125723566684E-2"/>
                </c:manualLayout>
              </c:layout>
              <c:showPercent val="1"/>
            </c:dLbl>
            <c:numFmt formatCode="0.0%" sourceLinked="0"/>
            <c:txPr>
              <a:bodyPr/>
              <a:lstStyle/>
              <a:p>
                <a:pPr>
                  <a:defRPr lang="en-US" sz="900" b="1">
                    <a:latin typeface="Arial" pitchFamily="34" charset="0"/>
                    <a:cs typeface="Arial" pitchFamily="34" charset="0"/>
                  </a:defRPr>
                </a:pPr>
                <a:endParaRPr lang="pt-PT"/>
              </a:p>
            </c:txPr>
            <c:showPercent val="1"/>
            <c:showLeaderLines val="1"/>
          </c:dLbls>
          <c:cat>
            <c:strRef>
              <c:f>AUX!$A$321:$A$330</c:f>
              <c:strCache>
                <c:ptCount val="9"/>
                <c:pt idx="0">
                  <c:v>Doenças infeciosas</c:v>
                </c:pt>
                <c:pt idx="1">
                  <c:v>Tumores malignos</c:v>
                </c:pt>
                <c:pt idx="2">
                  <c:v>Doenças endócrinas</c:v>
                </c:pt>
                <c:pt idx="3">
                  <c:v>Doenças aparelho circulatório</c:v>
                </c:pt>
                <c:pt idx="4">
                  <c:v>Doenças do aparelho respiratório</c:v>
                </c:pt>
                <c:pt idx="5">
                  <c:v>Doenças do aparelho digestivo</c:v>
                </c:pt>
                <c:pt idx="6">
                  <c:v>SSA não classificados</c:v>
                </c:pt>
                <c:pt idx="7">
                  <c:v>Causas externas</c:v>
                </c:pt>
                <c:pt idx="8">
                  <c:v>Outras causas</c:v>
                </c:pt>
              </c:strCache>
            </c:strRef>
          </c:cat>
          <c:val>
            <c:numRef>
              <c:f>AUX!$D$321:$D$330</c:f>
              <c:numCache>
                <c:formatCode>0.0</c:formatCode>
                <c:ptCount val="10"/>
                <c:pt idx="9">
                  <c:v>0</c:v>
                </c:pt>
              </c:numCache>
            </c:numRef>
          </c:val>
        </c:ser>
        <c:dLbls>
          <c:showVal val="1"/>
        </c:dLbls>
        <c:firstSliceAng val="0"/>
        <c:holeSize val="50"/>
      </c:doughnutChart>
    </c:plotArea>
    <c:plotVisOnly val="1"/>
    <c:dispBlanksAs val="zero"/>
  </c:chart>
  <c:spPr>
    <a:ln>
      <a:noFill/>
    </a:ln>
  </c:sp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lang="en-US" sz="1000">
                <a:latin typeface="Arial" pitchFamily="34" charset="0"/>
                <a:cs typeface="Arial" pitchFamily="34" charset="0"/>
              </a:defRPr>
            </a:pPr>
            <a:r>
              <a:rPr lang="en-US" sz="1000">
                <a:latin typeface="Arial" pitchFamily="34" charset="0"/>
                <a:cs typeface="Arial" pitchFamily="34" charset="0"/>
              </a:rPr>
              <a:t>65-74 anos</a:t>
            </a:r>
          </a:p>
        </c:rich>
      </c:tx>
    </c:title>
    <c:plotArea>
      <c:layout>
        <c:manualLayout>
          <c:layoutTarget val="inner"/>
          <c:xMode val="edge"/>
          <c:yMode val="edge"/>
          <c:x val="2.9172707202213616E-2"/>
          <c:y val="0.11422506621649769"/>
          <c:w val="0.92328529330945563"/>
          <c:h val="0.84685468594485969"/>
        </c:manualLayout>
      </c:layout>
      <c:doughnutChart>
        <c:varyColors val="1"/>
        <c:ser>
          <c:idx val="0"/>
          <c:order val="0"/>
          <c:dPt>
            <c:idx val="9"/>
            <c:spPr>
              <a:solidFill>
                <a:schemeClr val="bg1">
                  <a:lumMod val="85000"/>
                </a:schemeClr>
              </a:solidFill>
            </c:spPr>
          </c:dPt>
          <c:dLbls>
            <c:dLbl>
              <c:idx val="0"/>
              <c:layout>
                <c:manualLayout>
                  <c:x val="0"/>
                  <c:y val="-3.9735113151210012E-2"/>
                </c:manualLayout>
              </c:layout>
              <c:showPercent val="1"/>
            </c:dLbl>
            <c:numFmt formatCode="0.0%" sourceLinked="0"/>
            <c:txPr>
              <a:bodyPr/>
              <a:lstStyle/>
              <a:p>
                <a:pPr>
                  <a:defRPr lang="en-US" sz="900" b="1">
                    <a:latin typeface="Arial" pitchFamily="34" charset="0"/>
                    <a:cs typeface="Arial" pitchFamily="34" charset="0"/>
                  </a:defRPr>
                </a:pPr>
                <a:endParaRPr lang="pt-PT"/>
              </a:p>
            </c:txPr>
            <c:showPercent val="1"/>
            <c:showLeaderLines val="1"/>
          </c:dLbls>
          <c:cat>
            <c:strRef>
              <c:f>AUX!$A$321:$A$330</c:f>
              <c:strCache>
                <c:ptCount val="9"/>
                <c:pt idx="0">
                  <c:v>Doenças infeciosas</c:v>
                </c:pt>
                <c:pt idx="1">
                  <c:v>Tumores malignos</c:v>
                </c:pt>
                <c:pt idx="2">
                  <c:v>Doenças endócrinas</c:v>
                </c:pt>
                <c:pt idx="3">
                  <c:v>Doenças aparelho circulatório</c:v>
                </c:pt>
                <c:pt idx="4">
                  <c:v>Doenças do aparelho respiratório</c:v>
                </c:pt>
                <c:pt idx="5">
                  <c:v>Doenças do aparelho digestivo</c:v>
                </c:pt>
                <c:pt idx="6">
                  <c:v>SSA não classificados</c:v>
                </c:pt>
                <c:pt idx="7">
                  <c:v>Causas externas</c:v>
                </c:pt>
                <c:pt idx="8">
                  <c:v>Outras causas</c:v>
                </c:pt>
              </c:strCache>
            </c:strRef>
          </c:cat>
          <c:val>
            <c:numRef>
              <c:f>AUX!$E$321:$E$330</c:f>
              <c:numCache>
                <c:formatCode>0.0</c:formatCode>
                <c:ptCount val="10"/>
                <c:pt idx="9">
                  <c:v>0</c:v>
                </c:pt>
              </c:numCache>
            </c:numRef>
          </c:val>
        </c:ser>
        <c:dLbls>
          <c:showVal val="1"/>
        </c:dLbls>
        <c:firstSliceAng val="0"/>
        <c:holeSize val="50"/>
      </c:doughnutChart>
    </c:plotArea>
    <c:plotVisOnly val="1"/>
    <c:dispBlanksAs val="zero"/>
  </c:chart>
  <c:spPr>
    <a:ln>
      <a:noFill/>
    </a:ln>
  </c:sp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lang="en-US" sz="1000">
                <a:latin typeface="Arial" pitchFamily="34" charset="0"/>
                <a:cs typeface="Arial" pitchFamily="34" charset="0"/>
              </a:defRPr>
            </a:pPr>
            <a:r>
              <a:rPr lang="en-US" sz="1000">
                <a:latin typeface="Arial" pitchFamily="34" charset="0"/>
                <a:cs typeface="Arial" pitchFamily="34" charset="0"/>
              </a:rPr>
              <a:t>75+ anos</a:t>
            </a:r>
          </a:p>
        </c:rich>
      </c:tx>
    </c:title>
    <c:plotArea>
      <c:layout>
        <c:manualLayout>
          <c:layoutTarget val="inner"/>
          <c:xMode val="edge"/>
          <c:yMode val="edge"/>
          <c:x val="2.9172707202213616E-2"/>
          <c:y val="0.11422506621649769"/>
          <c:w val="0.92328529330945563"/>
          <c:h val="0.84685468594485969"/>
        </c:manualLayout>
      </c:layout>
      <c:doughnutChart>
        <c:varyColors val="1"/>
        <c:ser>
          <c:idx val="0"/>
          <c:order val="0"/>
          <c:dPt>
            <c:idx val="9"/>
            <c:spPr>
              <a:solidFill>
                <a:schemeClr val="bg1">
                  <a:lumMod val="85000"/>
                </a:schemeClr>
              </a:solidFill>
            </c:spPr>
          </c:dPt>
          <c:dLbls>
            <c:dLbl>
              <c:idx val="0"/>
              <c:layout>
                <c:manualLayout>
                  <c:x val="1.2779557002190975E-2"/>
                  <c:y val="-3.0905088006496672E-2"/>
                </c:manualLayout>
              </c:layout>
              <c:showPercent val="1"/>
            </c:dLbl>
            <c:numFmt formatCode="0.0%" sourceLinked="0"/>
            <c:txPr>
              <a:bodyPr/>
              <a:lstStyle/>
              <a:p>
                <a:pPr>
                  <a:defRPr lang="en-US" sz="900" b="1">
                    <a:latin typeface="Arial" pitchFamily="34" charset="0"/>
                    <a:cs typeface="Arial" pitchFamily="34" charset="0"/>
                  </a:defRPr>
                </a:pPr>
                <a:endParaRPr lang="pt-PT"/>
              </a:p>
            </c:txPr>
            <c:showPercent val="1"/>
            <c:showLeaderLines val="1"/>
          </c:dLbls>
          <c:cat>
            <c:strRef>
              <c:f>AUX!$A$321:$A$330</c:f>
              <c:strCache>
                <c:ptCount val="9"/>
                <c:pt idx="0">
                  <c:v>Doenças infeciosas</c:v>
                </c:pt>
                <c:pt idx="1">
                  <c:v>Tumores malignos</c:v>
                </c:pt>
                <c:pt idx="2">
                  <c:v>Doenças endócrinas</c:v>
                </c:pt>
                <c:pt idx="3">
                  <c:v>Doenças aparelho circulatório</c:v>
                </c:pt>
                <c:pt idx="4">
                  <c:v>Doenças do aparelho respiratório</c:v>
                </c:pt>
                <c:pt idx="5">
                  <c:v>Doenças do aparelho digestivo</c:v>
                </c:pt>
                <c:pt idx="6">
                  <c:v>SSA não classificados</c:v>
                </c:pt>
                <c:pt idx="7">
                  <c:v>Causas externas</c:v>
                </c:pt>
                <c:pt idx="8">
                  <c:v>Outras causas</c:v>
                </c:pt>
              </c:strCache>
            </c:strRef>
          </c:cat>
          <c:val>
            <c:numRef>
              <c:f>AUX!$F$321:$F$330</c:f>
              <c:numCache>
                <c:formatCode>0.0</c:formatCode>
                <c:ptCount val="10"/>
                <c:pt idx="9">
                  <c:v>0</c:v>
                </c:pt>
              </c:numCache>
            </c:numRef>
          </c:val>
        </c:ser>
        <c:dLbls>
          <c:showVal val="1"/>
        </c:dLbls>
        <c:firstSliceAng val="0"/>
        <c:holeSize val="50"/>
      </c:doughnutChart>
    </c:plotArea>
    <c:plotVisOnly val="1"/>
    <c:dispBlanksAs val="zero"/>
  </c:chart>
  <c:spPr>
    <a:ln>
      <a:noFill/>
    </a:ln>
  </c:spPr>
  <c:printSettings>
    <c:headerFooter/>
    <c:pageMargins b="0.75000000000001465" l="0.70000000000000062" r="0.70000000000000062" t="0.7500000000000146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6.9025650118203413E-2"/>
          <c:y val="8.1500555555555562E-2"/>
          <c:w val="0.72919435538344302"/>
          <c:h val="0.76085777777777774"/>
        </c:manualLayout>
      </c:layout>
      <c:barChart>
        <c:barDir val="col"/>
        <c:grouping val="clustered"/>
        <c:ser>
          <c:idx val="0"/>
          <c:order val="0"/>
          <c:tx>
            <c:strRef>
              <c:f>AUX!$B$296</c:f>
              <c:strCache>
                <c:ptCount val="1"/>
                <c:pt idx="0">
                  <c:v>Continente</c:v>
                </c:pt>
              </c:strCache>
            </c:strRef>
          </c:tx>
          <c:spPr>
            <a:solidFill>
              <a:srgbClr val="FF0000"/>
            </a:solidFill>
            <a:ln>
              <a:solidFill>
                <a:srgbClr val="FF0000"/>
              </a:solidFill>
            </a:ln>
          </c:spPr>
          <c:dLbls>
            <c:txPr>
              <a:bodyPr/>
              <a:lstStyle/>
              <a:p>
                <a:pPr>
                  <a:defRPr lang="en-US" sz="600">
                    <a:solidFill>
                      <a:schemeClr val="bg1">
                        <a:lumMod val="50000"/>
                      </a:schemeClr>
                    </a:solidFill>
                    <a:latin typeface="Arial" pitchFamily="34" charset="0"/>
                    <a:cs typeface="Arial" pitchFamily="34" charset="0"/>
                  </a:defRPr>
                </a:pPr>
                <a:endParaRPr lang="pt-PT"/>
              </a:p>
            </c:txPr>
            <c:showVal val="1"/>
          </c:dLbls>
          <c:cat>
            <c:strRef>
              <c:f>AUX!$A$297:$A$305</c:f>
              <c:strCache>
                <c:ptCount val="9"/>
                <c:pt idx="0">
                  <c:v>Doenças infeciosas</c:v>
                </c:pt>
                <c:pt idx="1">
                  <c:v>Tumores malignos</c:v>
                </c:pt>
                <c:pt idx="2">
                  <c:v>Doenças endócrinas</c:v>
                </c:pt>
                <c:pt idx="3">
                  <c:v>Doenças ap circulatório</c:v>
                </c:pt>
                <c:pt idx="4">
                  <c:v>Doenças ap respiratório</c:v>
                </c:pt>
                <c:pt idx="5">
                  <c:v>Doenças ap digestivo</c:v>
                </c:pt>
                <c:pt idx="6">
                  <c:v>SSA não classificados</c:v>
                </c:pt>
                <c:pt idx="7">
                  <c:v>Causas externas</c:v>
                </c:pt>
                <c:pt idx="8">
                  <c:v>Outras causas</c:v>
                </c:pt>
              </c:strCache>
            </c:strRef>
          </c:cat>
          <c:val>
            <c:numRef>
              <c:f>AUX!$B$297:$B$305</c:f>
              <c:numCache>
                <c:formatCode>0.0</c:formatCode>
                <c:ptCount val="9"/>
                <c:pt idx="0">
                  <c:v>2.417320721808546</c:v>
                </c:pt>
                <c:pt idx="1">
                  <c:v>23.970617830549408</c:v>
                </c:pt>
                <c:pt idx="2">
                  <c:v>5.2307640705708733</c:v>
                </c:pt>
                <c:pt idx="3">
                  <c:v>31.549607566914872</c:v>
                </c:pt>
                <c:pt idx="4">
                  <c:v>11.255785872408936</c:v>
                </c:pt>
                <c:pt idx="5">
                  <c:v>4.3865298182062116</c:v>
                </c:pt>
                <c:pt idx="6">
                  <c:v>9.4945327698396724</c:v>
                </c:pt>
                <c:pt idx="7">
                  <c:v>4.1051184007513255</c:v>
                </c:pt>
                <c:pt idx="8">
                  <c:v>7.5897229489501532</c:v>
                </c:pt>
              </c:numCache>
            </c:numRef>
          </c:val>
        </c:ser>
        <c:ser>
          <c:idx val="1"/>
          <c:order val="1"/>
          <c:tx>
            <c:strRef>
              <c:f>AUX!$C$296</c:f>
              <c:strCache>
                <c:ptCount val="1"/>
                <c:pt idx="0">
                  <c:v>0</c:v>
                </c:pt>
              </c:strCache>
            </c:strRef>
          </c:tx>
          <c:spPr>
            <a:solidFill>
              <a:schemeClr val="tx2">
                <a:lumMod val="75000"/>
              </a:schemeClr>
            </a:solidFill>
            <a:ln>
              <a:solidFill>
                <a:schemeClr val="tx2">
                  <a:lumMod val="75000"/>
                </a:schemeClr>
              </a:solidFill>
            </a:ln>
          </c:spPr>
          <c:dLbls>
            <c:txPr>
              <a:bodyPr/>
              <a:lstStyle/>
              <a:p>
                <a:pPr>
                  <a:defRPr lang="en-US" sz="600">
                    <a:solidFill>
                      <a:schemeClr val="bg1">
                        <a:lumMod val="50000"/>
                      </a:schemeClr>
                    </a:solidFill>
                    <a:latin typeface="Arial" pitchFamily="34" charset="0"/>
                    <a:cs typeface="Arial" pitchFamily="34" charset="0"/>
                  </a:defRPr>
                </a:pPr>
                <a:endParaRPr lang="pt-PT"/>
              </a:p>
            </c:txPr>
            <c:showVal val="1"/>
          </c:dLbls>
          <c:cat>
            <c:strRef>
              <c:f>AUX!$A$297:$A$305</c:f>
              <c:strCache>
                <c:ptCount val="9"/>
                <c:pt idx="0">
                  <c:v>Doenças infeciosas</c:v>
                </c:pt>
                <c:pt idx="1">
                  <c:v>Tumores malignos</c:v>
                </c:pt>
                <c:pt idx="2">
                  <c:v>Doenças endócrinas</c:v>
                </c:pt>
                <c:pt idx="3">
                  <c:v>Doenças ap circulatório</c:v>
                </c:pt>
                <c:pt idx="4">
                  <c:v>Doenças ap respiratório</c:v>
                </c:pt>
                <c:pt idx="5">
                  <c:v>Doenças ap digestivo</c:v>
                </c:pt>
                <c:pt idx="6">
                  <c:v>SSA não classificados</c:v>
                </c:pt>
                <c:pt idx="7">
                  <c:v>Causas externas</c:v>
                </c:pt>
                <c:pt idx="8">
                  <c:v>Outras causas</c:v>
                </c:pt>
              </c:strCache>
            </c:strRef>
          </c:cat>
          <c:val>
            <c:numRef>
              <c:f>AUX!$C$297:$C$305</c:f>
              <c:numCache>
                <c:formatCode>0.0</c:formatCode>
                <c:ptCount val="9"/>
              </c:numCache>
            </c:numRef>
          </c:val>
        </c:ser>
        <c:ser>
          <c:idx val="2"/>
          <c:order val="2"/>
          <c:tx>
            <c:strRef>
              <c:f>AUX!$D$296</c:f>
              <c:strCache>
                <c:ptCount val="1"/>
                <c:pt idx="0">
                  <c:v>0</c:v>
                </c:pt>
              </c:strCache>
            </c:strRef>
          </c:tx>
          <c:spPr>
            <a:solidFill>
              <a:srgbClr val="008080"/>
            </a:solidFill>
            <a:ln>
              <a:solidFill>
                <a:srgbClr val="008080"/>
              </a:solidFill>
            </a:ln>
          </c:spPr>
          <c:dLbls>
            <c:txPr>
              <a:bodyPr/>
              <a:lstStyle/>
              <a:p>
                <a:pPr>
                  <a:defRPr lang="en-US" sz="600">
                    <a:solidFill>
                      <a:schemeClr val="bg1">
                        <a:lumMod val="50000"/>
                      </a:schemeClr>
                    </a:solidFill>
                    <a:latin typeface="Arial" pitchFamily="34" charset="0"/>
                    <a:cs typeface="Arial" pitchFamily="34" charset="0"/>
                  </a:defRPr>
                </a:pPr>
                <a:endParaRPr lang="pt-PT"/>
              </a:p>
            </c:txPr>
            <c:showVal val="1"/>
          </c:dLbls>
          <c:cat>
            <c:strRef>
              <c:f>AUX!$A$297:$A$305</c:f>
              <c:strCache>
                <c:ptCount val="9"/>
                <c:pt idx="0">
                  <c:v>Doenças infeciosas</c:v>
                </c:pt>
                <c:pt idx="1">
                  <c:v>Tumores malignos</c:v>
                </c:pt>
                <c:pt idx="2">
                  <c:v>Doenças endócrinas</c:v>
                </c:pt>
                <c:pt idx="3">
                  <c:v>Doenças ap circulatório</c:v>
                </c:pt>
                <c:pt idx="4">
                  <c:v>Doenças ap respiratório</c:v>
                </c:pt>
                <c:pt idx="5">
                  <c:v>Doenças ap digestivo</c:v>
                </c:pt>
                <c:pt idx="6">
                  <c:v>SSA não classificados</c:v>
                </c:pt>
                <c:pt idx="7">
                  <c:v>Causas externas</c:v>
                </c:pt>
                <c:pt idx="8">
                  <c:v>Outras causas</c:v>
                </c:pt>
              </c:strCache>
            </c:strRef>
          </c:cat>
          <c:val>
            <c:numRef>
              <c:f>AUX!$D$297:$D$305</c:f>
              <c:numCache>
                <c:formatCode>0.0</c:formatCode>
                <c:ptCount val="9"/>
              </c:numCache>
            </c:numRef>
          </c:val>
        </c:ser>
        <c:axId val="281953408"/>
        <c:axId val="281954944"/>
      </c:barChart>
      <c:catAx>
        <c:axId val="281953408"/>
        <c:scaling>
          <c:orientation val="minMax"/>
        </c:scaling>
        <c:axPos val="b"/>
        <c:tickLblPos val="nextTo"/>
        <c:txPr>
          <a:bodyPr/>
          <a:lstStyle/>
          <a:p>
            <a:pPr>
              <a:defRPr lang="en-US" sz="900">
                <a:latin typeface="Arial" pitchFamily="34" charset="0"/>
                <a:cs typeface="Arial" pitchFamily="34" charset="0"/>
              </a:defRPr>
            </a:pPr>
            <a:endParaRPr lang="pt-PT"/>
          </a:p>
        </c:txPr>
        <c:crossAx val="281954944"/>
        <c:crosses val="autoZero"/>
        <c:auto val="1"/>
        <c:lblAlgn val="ctr"/>
        <c:lblOffset val="100"/>
      </c:catAx>
      <c:valAx>
        <c:axId val="281954944"/>
        <c:scaling>
          <c:orientation val="minMax"/>
        </c:scaling>
        <c:axPos val="l"/>
        <c:majorGridlines>
          <c:spPr>
            <a:ln w="3175">
              <a:solidFill>
                <a:schemeClr val="bg1">
                  <a:lumMod val="95000"/>
                </a:schemeClr>
              </a:solidFill>
            </a:ln>
          </c:spPr>
        </c:majorGridlines>
        <c:title>
          <c:tx>
            <c:rich>
              <a:bodyPr rot="0" vert="horz"/>
              <a:lstStyle/>
              <a:p>
                <a:pPr>
                  <a:defRPr lang="en-US" sz="1000">
                    <a:latin typeface="Arial" pitchFamily="34" charset="0"/>
                    <a:cs typeface="Arial" pitchFamily="34" charset="0"/>
                  </a:defRPr>
                </a:pPr>
                <a:r>
                  <a:rPr lang="en-US" sz="1000">
                    <a:latin typeface="Arial" pitchFamily="34" charset="0"/>
                    <a:cs typeface="Arial" pitchFamily="34" charset="0"/>
                  </a:rPr>
                  <a:t>%</a:t>
                </a:r>
              </a:p>
            </c:rich>
          </c:tx>
          <c:layout>
            <c:manualLayout>
              <c:xMode val="edge"/>
              <c:yMode val="edge"/>
              <c:x val="6.8229314420803783E-3"/>
              <c:y val="3.0781944444445652E-2"/>
            </c:manualLayout>
          </c:layout>
        </c:title>
        <c:numFmt formatCode="0" sourceLinked="0"/>
        <c:tickLblPos val="nextTo"/>
        <c:txPr>
          <a:bodyPr/>
          <a:lstStyle/>
          <a:p>
            <a:pPr>
              <a:defRPr lang="en-US" sz="900">
                <a:latin typeface="Arial" pitchFamily="34" charset="0"/>
                <a:cs typeface="Arial" pitchFamily="34" charset="0"/>
              </a:defRPr>
            </a:pPr>
            <a:endParaRPr lang="pt-PT"/>
          </a:p>
        </c:txPr>
        <c:crossAx val="281953408"/>
        <c:crosses val="autoZero"/>
        <c:crossBetween val="between"/>
      </c:valAx>
    </c:plotArea>
    <c:legend>
      <c:legendPos val="r"/>
      <c:layout>
        <c:manualLayout>
          <c:xMode val="edge"/>
          <c:yMode val="edge"/>
          <c:x val="0.80916245177993595"/>
          <c:y val="0.55779960317463606"/>
          <c:w val="0.17950981987111544"/>
          <c:h val="0.2911748866213153"/>
        </c:manualLayout>
      </c:layout>
      <c:spPr>
        <a:ln w="3175">
          <a:solidFill>
            <a:schemeClr val="bg1">
              <a:lumMod val="95000"/>
            </a:schemeClr>
          </a:solidFill>
        </a:ln>
      </c:spPr>
      <c:txPr>
        <a:bodyPr/>
        <a:lstStyle/>
        <a:p>
          <a:pPr>
            <a:defRPr lang="en-US" sz="1000">
              <a:latin typeface="Arial" pitchFamily="34" charset="0"/>
              <a:cs typeface="Arial" pitchFamily="34" charset="0"/>
            </a:defRPr>
          </a:pPr>
          <a:endParaRPr lang="pt-PT"/>
        </a:p>
      </c:txPr>
    </c:legend>
    <c:plotVisOnly val="1"/>
    <c:dispBlanksAs val="gap"/>
  </c:chart>
  <c:spPr>
    <a:ln w="3175">
      <a:solidFill>
        <a:schemeClr val="bg1">
          <a:lumMod val="75000"/>
        </a:scheme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8.8134920634920746E-2"/>
          <c:y val="4.6260498687663965E-2"/>
          <c:w val="0.89111344537815129"/>
          <c:h val="0.74588452380952375"/>
        </c:manualLayout>
      </c:layout>
      <c:lineChart>
        <c:grouping val="standard"/>
        <c:ser>
          <c:idx val="1"/>
          <c:order val="0"/>
          <c:tx>
            <c:strRef>
              <c:f>AUX!$A$45</c:f>
              <c:strCache>
                <c:ptCount val="1"/>
                <c:pt idx="0">
                  <c:v>Continente</c:v>
                </c:pt>
              </c:strCache>
            </c:strRef>
          </c:tx>
          <c:spPr>
            <a:ln w="19050">
              <a:solidFill>
                <a:srgbClr val="FF0000"/>
              </a:solidFill>
            </a:ln>
          </c:spPr>
          <c:marker>
            <c:symbol val="none"/>
          </c:marker>
          <c:cat>
            <c:numRef>
              <c:f>AUX!$B$44:$W$44</c:f>
              <c:numCache>
                <c:formatCode>General</c:formatCode>
                <c:ptCount val="2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numCache>
            </c:numRef>
          </c:cat>
          <c:val>
            <c:numRef>
              <c:f>AUX!$B$45:$W$45</c:f>
              <c:numCache>
                <c:formatCode>0.0</c:formatCode>
                <c:ptCount val="22"/>
                <c:pt idx="0">
                  <c:v>73.597977157125527</c:v>
                </c:pt>
                <c:pt idx="1">
                  <c:v>77.284539674184856</c:v>
                </c:pt>
                <c:pt idx="2">
                  <c:v>80.568010481125015</c:v>
                </c:pt>
                <c:pt idx="3">
                  <c:v>84.076061920958352</c:v>
                </c:pt>
                <c:pt idx="4">
                  <c:v>87.75498854493469</c:v>
                </c:pt>
                <c:pt idx="5">
                  <c:v>90.989876907166035</c:v>
                </c:pt>
                <c:pt idx="6">
                  <c:v>94.343876363695102</c:v>
                </c:pt>
                <c:pt idx="7">
                  <c:v>97.128660275331896</c:v>
                </c:pt>
                <c:pt idx="8">
                  <c:v>99.367415115350013</c:v>
                </c:pt>
                <c:pt idx="9">
                  <c:v>102.8110964232486</c:v>
                </c:pt>
                <c:pt idx="10">
                  <c:v>104.84773387015626</c:v>
                </c:pt>
                <c:pt idx="11">
                  <c:v>106.26824043953185</c:v>
                </c:pt>
                <c:pt idx="12">
                  <c:v>107.92667323363257</c:v>
                </c:pt>
                <c:pt idx="13">
                  <c:v>110.08942895739293</c:v>
                </c:pt>
                <c:pt idx="14">
                  <c:v>111.83811659706224</c:v>
                </c:pt>
                <c:pt idx="15">
                  <c:v>114.07329162785871</c:v>
                </c:pt>
                <c:pt idx="16">
                  <c:v>116.41342468725142</c:v>
                </c:pt>
                <c:pt idx="17">
                  <c:v>119.07374424797987</c:v>
                </c:pt>
                <c:pt idx="18">
                  <c:v>122.0226789826834</c:v>
                </c:pt>
                <c:pt idx="19">
                  <c:v>126.72327632495308</c:v>
                </c:pt>
                <c:pt idx="20">
                  <c:v>130.48516699754603</c:v>
                </c:pt>
                <c:pt idx="21">
                  <c:v>133.98202652317022</c:v>
                </c:pt>
              </c:numCache>
            </c:numRef>
          </c:val>
        </c:ser>
        <c:ser>
          <c:idx val="2"/>
          <c:order val="1"/>
          <c:tx>
            <c:strRef>
              <c:f>AUX!$A$46</c:f>
              <c:strCache>
                <c:ptCount val="1"/>
                <c:pt idx="0">
                  <c:v>0</c:v>
                </c:pt>
              </c:strCache>
            </c:strRef>
          </c:tx>
          <c:spPr>
            <a:ln w="19050">
              <a:solidFill>
                <a:schemeClr val="tx2"/>
              </a:solidFill>
            </a:ln>
          </c:spPr>
          <c:marker>
            <c:symbol val="none"/>
          </c:marker>
          <c:cat>
            <c:numRef>
              <c:f>AUX!$B$44:$W$44</c:f>
              <c:numCache>
                <c:formatCode>General</c:formatCode>
                <c:ptCount val="2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numCache>
            </c:numRef>
          </c:cat>
          <c:val>
            <c:numRef>
              <c:f>AUX!$B$46:$W$46</c:f>
              <c:numCache>
                <c:formatCode>0.0</c:formatCode>
                <c:ptCount val="22"/>
              </c:numCache>
            </c:numRef>
          </c:val>
        </c:ser>
        <c:ser>
          <c:idx val="3"/>
          <c:order val="2"/>
          <c:tx>
            <c:strRef>
              <c:f>AUX!$A$47</c:f>
              <c:strCache>
                <c:ptCount val="1"/>
                <c:pt idx="0">
                  <c:v>0</c:v>
                </c:pt>
              </c:strCache>
            </c:strRef>
          </c:tx>
          <c:spPr>
            <a:ln w="38100">
              <a:solidFill>
                <a:srgbClr val="008080"/>
              </a:solidFill>
            </a:ln>
          </c:spPr>
          <c:marker>
            <c:symbol val="none"/>
          </c:marker>
          <c:cat>
            <c:numRef>
              <c:f>AUX!$B$44:$W$44</c:f>
              <c:numCache>
                <c:formatCode>General</c:formatCode>
                <c:ptCount val="2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numCache>
            </c:numRef>
          </c:cat>
          <c:val>
            <c:numRef>
              <c:f>AUX!$B$47:$W$47</c:f>
              <c:numCache>
                <c:formatCode>0.0</c:formatCode>
                <c:ptCount val="22"/>
              </c:numCache>
            </c:numRef>
          </c:val>
        </c:ser>
        <c:marker val="1"/>
        <c:axId val="280062592"/>
        <c:axId val="280121344"/>
      </c:lineChart>
      <c:catAx>
        <c:axId val="280062592"/>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80121344"/>
        <c:crosses val="autoZero"/>
        <c:auto val="1"/>
        <c:lblAlgn val="ctr"/>
        <c:lblOffset val="100"/>
        <c:tickLblSkip val="2"/>
        <c:tickMarkSkip val="1"/>
      </c:catAx>
      <c:valAx>
        <c:axId val="280121344"/>
        <c:scaling>
          <c:orientation val="minMax"/>
        </c:scaling>
        <c:axPos val="l"/>
        <c:majorGridlines>
          <c:spPr>
            <a:ln w="3175">
              <a:solidFill>
                <a:schemeClr val="bg1">
                  <a:lumMod val="95000"/>
                </a:schemeClr>
              </a:solidFill>
            </a:ln>
          </c:spPr>
        </c:majorGridlines>
        <c:numFmt formatCode="0" sourceLinked="0"/>
        <c:tickLblPos val="nextTo"/>
        <c:txPr>
          <a:bodyPr/>
          <a:lstStyle/>
          <a:p>
            <a:pPr>
              <a:defRPr lang="en-US" sz="900">
                <a:latin typeface="Arial" pitchFamily="34" charset="0"/>
                <a:cs typeface="Arial" pitchFamily="34" charset="0"/>
              </a:defRPr>
            </a:pPr>
            <a:endParaRPr lang="pt-PT"/>
          </a:p>
        </c:txPr>
        <c:crossAx val="280062592"/>
        <c:crosses val="autoZero"/>
        <c:crossBetween val="between"/>
      </c:valAx>
    </c:plotArea>
    <c:legend>
      <c:legendPos val="b"/>
      <c:layout>
        <c:manualLayout>
          <c:xMode val="edge"/>
          <c:yMode val="edge"/>
          <c:x val="1.4246498599439775E-2"/>
          <c:y val="0.92349344506743858"/>
          <c:w val="0.97150676937441638"/>
          <c:h val="5.9385594042127995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4.9153703703703713E-2"/>
          <c:y val="0"/>
          <c:w val="0.91215851851852792"/>
          <c:h val="0.9249684684684687"/>
        </c:manualLayout>
      </c:layout>
      <c:barChart>
        <c:barDir val="bar"/>
        <c:grouping val="clustered"/>
        <c:ser>
          <c:idx val="0"/>
          <c:order val="0"/>
          <c:spPr>
            <a:solidFill>
              <a:schemeClr val="tx2">
                <a:lumMod val="60000"/>
                <a:lumOff val="40000"/>
              </a:schemeClr>
            </a:solidFill>
            <a:ln>
              <a:solidFill>
                <a:schemeClr val="tx2">
                  <a:lumMod val="60000"/>
                  <a:lumOff val="40000"/>
                </a:schemeClr>
              </a:solidFill>
            </a:ln>
          </c:spPr>
          <c:dLbls>
            <c:txPr>
              <a:bodyPr/>
              <a:lstStyle/>
              <a:p>
                <a:pPr>
                  <a:defRPr lang="en-US" sz="700">
                    <a:solidFill>
                      <a:schemeClr val="tx1">
                        <a:lumMod val="50000"/>
                        <a:lumOff val="50000"/>
                      </a:schemeClr>
                    </a:solidFill>
                    <a:latin typeface="Arial" pitchFamily="34" charset="0"/>
                    <a:cs typeface="Arial" pitchFamily="34" charset="0"/>
                  </a:defRPr>
                </a:pPr>
                <a:endParaRPr lang="pt-PT"/>
              </a:p>
            </c:txPr>
            <c:showVal val="1"/>
          </c:dLbls>
          <c:val>
            <c:numRef>
              <c:f>AUX!$AB$376:$AB$397</c:f>
              <c:numCache>
                <c:formatCode>0.0</c:formatCode>
                <c:ptCount val="22"/>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er>
        <c:gapWidth val="50"/>
        <c:axId val="282141056"/>
        <c:axId val="282142592"/>
      </c:barChart>
      <c:catAx>
        <c:axId val="282141056"/>
        <c:scaling>
          <c:orientation val="maxMin"/>
        </c:scaling>
        <c:delete val="1"/>
        <c:axPos val="r"/>
        <c:tickLblPos val="none"/>
        <c:crossAx val="282142592"/>
        <c:crosses val="autoZero"/>
        <c:auto val="1"/>
        <c:lblAlgn val="ctr"/>
        <c:lblOffset val="100"/>
      </c:catAx>
      <c:valAx>
        <c:axId val="282142592"/>
        <c:scaling>
          <c:orientation val="maxMin"/>
          <c:max val="35"/>
        </c:scaling>
        <c:axPos val="b"/>
        <c:majorGridlines>
          <c:spPr>
            <a:ln>
              <a:solidFill>
                <a:schemeClr val="bg1">
                  <a:lumMod val="95000"/>
                </a:schemeClr>
              </a:solidFill>
            </a:ln>
          </c:spPr>
        </c:majorGridlines>
        <c:title>
          <c:tx>
            <c:rich>
              <a:bodyPr/>
              <a:lstStyle/>
              <a:p>
                <a:pPr>
                  <a:defRPr lang="en-US" sz="800" b="0">
                    <a:solidFill>
                      <a:schemeClr val="tx1">
                        <a:lumMod val="65000"/>
                        <a:lumOff val="35000"/>
                      </a:schemeClr>
                    </a:solidFill>
                    <a:latin typeface="Arial" pitchFamily="34" charset="0"/>
                    <a:cs typeface="Arial" pitchFamily="34" charset="0"/>
                  </a:defRPr>
                </a:pPr>
                <a:r>
                  <a:rPr lang="en-US" sz="800" b="0">
                    <a:solidFill>
                      <a:schemeClr val="tx1">
                        <a:lumMod val="65000"/>
                        <a:lumOff val="35000"/>
                      </a:schemeClr>
                    </a:solidFill>
                    <a:latin typeface="Arial" pitchFamily="34" charset="0"/>
                    <a:cs typeface="Arial" pitchFamily="34" charset="0"/>
                  </a:rPr>
                  <a:t>%</a:t>
                </a:r>
              </a:p>
            </c:rich>
          </c:tx>
          <c:layout>
            <c:manualLayout>
              <c:xMode val="edge"/>
              <c:yMode val="edge"/>
              <c:x val="9.7983333333333353E-2"/>
              <c:y val="0.9607932932933072"/>
            </c:manualLayout>
          </c:layout>
        </c:title>
        <c:numFmt formatCode="0" sourceLinked="0"/>
        <c:tickLblPos val="nextTo"/>
        <c:txPr>
          <a:bodyPr/>
          <a:lstStyle/>
          <a:p>
            <a:pPr>
              <a:defRPr lang="en-US" sz="800">
                <a:solidFill>
                  <a:schemeClr val="tx1">
                    <a:lumMod val="65000"/>
                    <a:lumOff val="35000"/>
                  </a:schemeClr>
                </a:solidFill>
                <a:latin typeface="Arial" pitchFamily="34" charset="0"/>
                <a:cs typeface="Arial" pitchFamily="34" charset="0"/>
              </a:defRPr>
            </a:pPr>
            <a:endParaRPr lang="pt-PT"/>
          </a:p>
        </c:txPr>
        <c:crossAx val="282141056"/>
        <c:crosses val="max"/>
        <c:crossBetween val="between"/>
        <c:majorUnit val="5"/>
      </c:valAx>
    </c:plotArea>
    <c:plotVisOnly val="1"/>
    <c:dispBlanksAs val="gap"/>
  </c:chart>
  <c:spPr>
    <a:noFill/>
    <a:ln>
      <a:noFill/>
    </a:ln>
  </c:spPr>
  <c:printSettings>
    <c:headerFooter/>
    <c:pageMargins b="0.7500000000000081" l="0.70000000000000062" r="0.70000000000000062" t="0.750000000000008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5.9215986394557815E-2"/>
          <c:y val="4.1721230158730934E-3"/>
          <c:w val="0.86554875283446764"/>
          <c:h val="0.92146626984124835"/>
        </c:manualLayout>
      </c:layout>
      <c:barChart>
        <c:barDir val="bar"/>
        <c:grouping val="clustered"/>
        <c:ser>
          <c:idx val="0"/>
          <c:order val="0"/>
          <c:spPr>
            <a:solidFill>
              <a:schemeClr val="tx2">
                <a:lumMod val="60000"/>
                <a:lumOff val="40000"/>
              </a:schemeClr>
            </a:solidFill>
            <a:ln>
              <a:solidFill>
                <a:schemeClr val="tx2">
                  <a:lumMod val="60000"/>
                  <a:lumOff val="40000"/>
                </a:schemeClr>
              </a:solidFill>
            </a:ln>
          </c:spPr>
          <c:dLbls>
            <c:txPr>
              <a:bodyPr/>
              <a:lstStyle/>
              <a:p>
                <a:pPr>
                  <a:defRPr lang="en-US" sz="700">
                    <a:solidFill>
                      <a:schemeClr val="tx1">
                        <a:lumMod val="50000"/>
                        <a:lumOff val="50000"/>
                      </a:schemeClr>
                    </a:solidFill>
                    <a:latin typeface="Arial" pitchFamily="34" charset="0"/>
                    <a:cs typeface="Arial" pitchFamily="34" charset="0"/>
                  </a:defRPr>
                </a:pPr>
                <a:endParaRPr lang="pt-PT"/>
              </a:p>
            </c:txPr>
            <c:showVal val="1"/>
          </c:dLbls>
          <c:val>
            <c:numRef>
              <c:f>AUX!$AC$376:$AC$397</c:f>
              <c:numCache>
                <c:formatCode>0.0</c:formatCode>
                <c:ptCount val="22"/>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er>
        <c:gapWidth val="50"/>
        <c:axId val="282150400"/>
        <c:axId val="282151936"/>
      </c:barChart>
      <c:catAx>
        <c:axId val="282150400"/>
        <c:scaling>
          <c:orientation val="maxMin"/>
        </c:scaling>
        <c:delete val="1"/>
        <c:axPos val="l"/>
        <c:tickLblPos val="none"/>
        <c:crossAx val="282151936"/>
        <c:crosses val="autoZero"/>
        <c:auto val="1"/>
        <c:lblAlgn val="ctr"/>
        <c:lblOffset val="100"/>
      </c:catAx>
      <c:valAx>
        <c:axId val="282151936"/>
        <c:scaling>
          <c:orientation val="minMax"/>
          <c:max val="35"/>
        </c:scaling>
        <c:axPos val="b"/>
        <c:majorGridlines>
          <c:spPr>
            <a:ln>
              <a:solidFill>
                <a:schemeClr val="bg1">
                  <a:lumMod val="95000"/>
                </a:schemeClr>
              </a:solidFill>
            </a:ln>
          </c:spPr>
        </c:majorGridlines>
        <c:title>
          <c:tx>
            <c:rich>
              <a:bodyPr/>
              <a:lstStyle/>
              <a:p>
                <a:pPr>
                  <a:defRPr lang="en-US" sz="800" b="0">
                    <a:solidFill>
                      <a:schemeClr val="tx1">
                        <a:lumMod val="65000"/>
                        <a:lumOff val="35000"/>
                      </a:schemeClr>
                    </a:solidFill>
                    <a:latin typeface="Arial" pitchFamily="34" charset="0"/>
                    <a:cs typeface="Arial" pitchFamily="34" charset="0"/>
                  </a:defRPr>
                </a:pPr>
                <a:r>
                  <a:rPr lang="en-US" sz="800" b="0">
                    <a:solidFill>
                      <a:schemeClr val="tx1">
                        <a:lumMod val="65000"/>
                        <a:lumOff val="35000"/>
                      </a:schemeClr>
                    </a:solidFill>
                    <a:latin typeface="Arial" pitchFamily="34" charset="0"/>
                    <a:cs typeface="Arial" pitchFamily="34" charset="0"/>
                  </a:rPr>
                  <a:t>%</a:t>
                </a:r>
              </a:p>
            </c:rich>
          </c:tx>
          <c:layout>
            <c:manualLayout>
              <c:xMode val="edge"/>
              <c:yMode val="edge"/>
              <c:x val="0.81662962962963892"/>
              <c:y val="0.95994196428571565"/>
            </c:manualLayout>
          </c:layout>
        </c:title>
        <c:numFmt formatCode="0" sourceLinked="0"/>
        <c:tickLblPos val="nextTo"/>
        <c:txPr>
          <a:bodyPr/>
          <a:lstStyle/>
          <a:p>
            <a:pPr>
              <a:defRPr lang="en-US" sz="800">
                <a:solidFill>
                  <a:schemeClr val="tx1">
                    <a:lumMod val="65000"/>
                    <a:lumOff val="35000"/>
                  </a:schemeClr>
                </a:solidFill>
                <a:latin typeface="Arial" pitchFamily="34" charset="0"/>
                <a:cs typeface="Arial" pitchFamily="34" charset="0"/>
              </a:defRPr>
            </a:pPr>
            <a:endParaRPr lang="pt-PT"/>
          </a:p>
        </c:txPr>
        <c:crossAx val="282150400"/>
        <c:crosses val="max"/>
        <c:crossBetween val="between"/>
        <c:majorUnit val="5"/>
      </c:valAx>
    </c:plotArea>
    <c:plotVisOnly val="1"/>
    <c:dispBlanksAs val="gap"/>
  </c:chart>
  <c:spPr>
    <a:ln>
      <a:noFill/>
    </a:ln>
  </c:spPr>
  <c:printSettings>
    <c:headerFooter/>
    <c:pageMargins b="0.75000000000000833" l="0.70000000000000062" r="0.70000000000000062" t="0.750000000000008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4.9153703703703713E-2"/>
          <c:y val="0"/>
          <c:w val="0.91215851851852814"/>
          <c:h val="0.9249684684684687"/>
        </c:manualLayout>
      </c:layout>
      <c:barChart>
        <c:barDir val="bar"/>
        <c:grouping val="clustered"/>
        <c:ser>
          <c:idx val="0"/>
          <c:order val="0"/>
          <c:spPr>
            <a:solidFill>
              <a:schemeClr val="tx2">
                <a:lumMod val="60000"/>
                <a:lumOff val="40000"/>
              </a:schemeClr>
            </a:solidFill>
            <a:ln>
              <a:solidFill>
                <a:schemeClr val="tx2">
                  <a:lumMod val="60000"/>
                  <a:lumOff val="40000"/>
                </a:schemeClr>
              </a:solidFill>
            </a:ln>
          </c:spPr>
          <c:dLbls>
            <c:txPr>
              <a:bodyPr/>
              <a:lstStyle/>
              <a:p>
                <a:pPr>
                  <a:defRPr lang="en-US" sz="700">
                    <a:solidFill>
                      <a:schemeClr val="tx1">
                        <a:lumMod val="50000"/>
                        <a:lumOff val="50000"/>
                      </a:schemeClr>
                    </a:solidFill>
                    <a:latin typeface="Arial" pitchFamily="34" charset="0"/>
                    <a:cs typeface="Arial" pitchFamily="34" charset="0"/>
                  </a:defRPr>
                </a:pPr>
                <a:endParaRPr lang="pt-PT"/>
              </a:p>
            </c:txPr>
            <c:showVal val="1"/>
          </c:dLbls>
          <c:val>
            <c:numRef>
              <c:f>AUX!$AE$376:$AE$397</c:f>
              <c:numCache>
                <c:formatCode>0.0</c:formatCode>
                <c:ptCount val="22"/>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er>
        <c:gapWidth val="50"/>
        <c:axId val="282192512"/>
        <c:axId val="87306624"/>
      </c:barChart>
      <c:catAx>
        <c:axId val="282192512"/>
        <c:scaling>
          <c:orientation val="maxMin"/>
        </c:scaling>
        <c:delete val="1"/>
        <c:axPos val="r"/>
        <c:tickLblPos val="none"/>
        <c:crossAx val="87306624"/>
        <c:crosses val="autoZero"/>
        <c:auto val="1"/>
        <c:lblAlgn val="ctr"/>
        <c:lblOffset val="100"/>
      </c:catAx>
      <c:valAx>
        <c:axId val="87306624"/>
        <c:scaling>
          <c:orientation val="maxMin"/>
          <c:max val="35"/>
        </c:scaling>
        <c:axPos val="b"/>
        <c:majorGridlines>
          <c:spPr>
            <a:ln>
              <a:solidFill>
                <a:schemeClr val="bg1">
                  <a:lumMod val="95000"/>
                </a:schemeClr>
              </a:solidFill>
            </a:ln>
          </c:spPr>
        </c:majorGridlines>
        <c:title>
          <c:tx>
            <c:rich>
              <a:bodyPr/>
              <a:lstStyle/>
              <a:p>
                <a:pPr>
                  <a:defRPr lang="en-US" sz="800" b="0">
                    <a:solidFill>
                      <a:schemeClr val="tx1">
                        <a:lumMod val="65000"/>
                        <a:lumOff val="35000"/>
                      </a:schemeClr>
                    </a:solidFill>
                    <a:latin typeface="Arial" pitchFamily="34" charset="0"/>
                    <a:cs typeface="Arial" pitchFamily="34" charset="0"/>
                  </a:defRPr>
                </a:pPr>
                <a:r>
                  <a:rPr lang="en-US" sz="800" b="0">
                    <a:solidFill>
                      <a:schemeClr val="tx1">
                        <a:lumMod val="65000"/>
                        <a:lumOff val="35000"/>
                      </a:schemeClr>
                    </a:solidFill>
                    <a:latin typeface="Arial" pitchFamily="34" charset="0"/>
                    <a:cs typeface="Arial" pitchFamily="34" charset="0"/>
                  </a:rPr>
                  <a:t>%</a:t>
                </a:r>
              </a:p>
            </c:rich>
          </c:tx>
          <c:layout>
            <c:manualLayout>
              <c:xMode val="edge"/>
              <c:yMode val="edge"/>
              <c:x val="9.7983333333333353E-2"/>
              <c:y val="0.96079329329330765"/>
            </c:manualLayout>
          </c:layout>
        </c:title>
        <c:numFmt formatCode="0" sourceLinked="0"/>
        <c:tickLblPos val="nextTo"/>
        <c:txPr>
          <a:bodyPr/>
          <a:lstStyle/>
          <a:p>
            <a:pPr>
              <a:defRPr lang="en-US" sz="800">
                <a:solidFill>
                  <a:schemeClr val="tx1">
                    <a:lumMod val="65000"/>
                    <a:lumOff val="35000"/>
                  </a:schemeClr>
                </a:solidFill>
                <a:latin typeface="Arial" pitchFamily="34" charset="0"/>
                <a:cs typeface="Arial" pitchFamily="34" charset="0"/>
              </a:defRPr>
            </a:pPr>
            <a:endParaRPr lang="pt-PT"/>
          </a:p>
        </c:txPr>
        <c:crossAx val="282192512"/>
        <c:crosses val="max"/>
        <c:crossBetween val="between"/>
        <c:majorUnit val="5"/>
      </c:valAx>
    </c:plotArea>
    <c:plotVisOnly val="1"/>
    <c:dispBlanksAs val="gap"/>
  </c:chart>
  <c:spPr>
    <a:noFill/>
    <a:ln>
      <a:noFill/>
    </a:ln>
  </c:spPr>
  <c:printSettings>
    <c:headerFooter/>
    <c:pageMargins b="0.75000000000000833" l="0.70000000000000062" r="0.70000000000000062" t="0.75000000000000833"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5.9215986394557815E-2"/>
          <c:y val="4.1721230158730934E-3"/>
          <c:w val="0.86554875283446764"/>
          <c:h val="0.92146626984124769"/>
        </c:manualLayout>
      </c:layout>
      <c:barChart>
        <c:barDir val="bar"/>
        <c:grouping val="clustered"/>
        <c:ser>
          <c:idx val="0"/>
          <c:order val="0"/>
          <c:spPr>
            <a:solidFill>
              <a:schemeClr val="tx2">
                <a:lumMod val="60000"/>
                <a:lumOff val="40000"/>
              </a:schemeClr>
            </a:solidFill>
            <a:ln>
              <a:solidFill>
                <a:schemeClr val="tx2">
                  <a:lumMod val="60000"/>
                  <a:lumOff val="40000"/>
                </a:schemeClr>
              </a:solidFill>
            </a:ln>
          </c:spPr>
          <c:dLbls>
            <c:txPr>
              <a:bodyPr/>
              <a:lstStyle/>
              <a:p>
                <a:pPr>
                  <a:defRPr lang="en-US" sz="700">
                    <a:solidFill>
                      <a:schemeClr val="tx1">
                        <a:lumMod val="50000"/>
                        <a:lumOff val="50000"/>
                      </a:schemeClr>
                    </a:solidFill>
                    <a:latin typeface="Arial" pitchFamily="34" charset="0"/>
                    <a:cs typeface="Arial" pitchFamily="34" charset="0"/>
                  </a:defRPr>
                </a:pPr>
                <a:endParaRPr lang="pt-PT"/>
              </a:p>
            </c:txPr>
            <c:showVal val="1"/>
          </c:dLbls>
          <c:val>
            <c:numRef>
              <c:f>AUX!$AF$376:$AF$397</c:f>
              <c:numCache>
                <c:formatCode>0.0</c:formatCode>
                <c:ptCount val="22"/>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er>
        <c:gapWidth val="50"/>
        <c:axId val="87351296"/>
        <c:axId val="87352832"/>
      </c:barChart>
      <c:catAx>
        <c:axId val="87351296"/>
        <c:scaling>
          <c:orientation val="maxMin"/>
        </c:scaling>
        <c:delete val="1"/>
        <c:axPos val="l"/>
        <c:tickLblPos val="none"/>
        <c:crossAx val="87352832"/>
        <c:crosses val="autoZero"/>
        <c:auto val="1"/>
        <c:lblAlgn val="ctr"/>
        <c:lblOffset val="100"/>
      </c:catAx>
      <c:valAx>
        <c:axId val="87352832"/>
        <c:scaling>
          <c:orientation val="minMax"/>
          <c:max val="35"/>
        </c:scaling>
        <c:axPos val="b"/>
        <c:majorGridlines>
          <c:spPr>
            <a:ln>
              <a:solidFill>
                <a:schemeClr val="bg1">
                  <a:lumMod val="95000"/>
                </a:schemeClr>
              </a:solidFill>
            </a:ln>
          </c:spPr>
        </c:majorGridlines>
        <c:title>
          <c:tx>
            <c:rich>
              <a:bodyPr/>
              <a:lstStyle/>
              <a:p>
                <a:pPr>
                  <a:defRPr lang="en-US" sz="800" b="0">
                    <a:solidFill>
                      <a:schemeClr val="tx1">
                        <a:lumMod val="65000"/>
                        <a:lumOff val="35000"/>
                      </a:schemeClr>
                    </a:solidFill>
                    <a:latin typeface="Arial" pitchFamily="34" charset="0"/>
                    <a:cs typeface="Arial" pitchFamily="34" charset="0"/>
                  </a:defRPr>
                </a:pPr>
                <a:r>
                  <a:rPr lang="en-US" sz="800" b="0">
                    <a:solidFill>
                      <a:schemeClr val="tx1">
                        <a:lumMod val="65000"/>
                        <a:lumOff val="35000"/>
                      </a:schemeClr>
                    </a:solidFill>
                    <a:latin typeface="Arial" pitchFamily="34" charset="0"/>
                    <a:cs typeface="Arial" pitchFamily="34" charset="0"/>
                  </a:rPr>
                  <a:t>%</a:t>
                </a:r>
              </a:p>
            </c:rich>
          </c:tx>
          <c:layout>
            <c:manualLayout>
              <c:xMode val="edge"/>
              <c:yMode val="edge"/>
              <c:x val="0.81662962962963914"/>
              <c:y val="0.95994196428571565"/>
            </c:manualLayout>
          </c:layout>
        </c:title>
        <c:numFmt formatCode="0" sourceLinked="0"/>
        <c:tickLblPos val="nextTo"/>
        <c:txPr>
          <a:bodyPr/>
          <a:lstStyle/>
          <a:p>
            <a:pPr>
              <a:defRPr lang="en-US" sz="800">
                <a:solidFill>
                  <a:schemeClr val="tx1">
                    <a:lumMod val="65000"/>
                    <a:lumOff val="35000"/>
                  </a:schemeClr>
                </a:solidFill>
                <a:latin typeface="Arial" pitchFamily="34" charset="0"/>
                <a:cs typeface="Arial" pitchFamily="34" charset="0"/>
              </a:defRPr>
            </a:pPr>
            <a:endParaRPr lang="pt-PT"/>
          </a:p>
        </c:txPr>
        <c:crossAx val="87351296"/>
        <c:crosses val="max"/>
        <c:crossBetween val="between"/>
        <c:majorUnit val="5"/>
      </c:valAx>
    </c:plotArea>
    <c:plotVisOnly val="1"/>
    <c:dispBlanksAs val="gap"/>
  </c:chart>
  <c:spPr>
    <a:ln>
      <a:noFill/>
    </a:ln>
  </c:spPr>
  <c:printSettings>
    <c:headerFooter/>
    <c:pageMargins b="0.75000000000000855" l="0.70000000000000062" r="0.70000000000000062" t="0.7500000000000085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1876977401130275"/>
          <c:y val="7.4877160493827158E-2"/>
          <c:w val="0.85535969868174844"/>
          <c:h val="0.5995888888888885"/>
        </c:manualLayout>
      </c:layout>
      <c:lineChart>
        <c:grouping val="standard"/>
        <c:ser>
          <c:idx val="0"/>
          <c:order val="0"/>
          <c:tx>
            <c:strRef>
              <c:f>AUX!$A$404</c:f>
              <c:strCache>
                <c:ptCount val="1"/>
                <c:pt idx="0">
                  <c:v>Continente</c:v>
                </c:pt>
              </c:strCache>
            </c:strRef>
          </c:tx>
          <c:spPr>
            <a:ln>
              <a:solidFill>
                <a:srgbClr val="FF0000"/>
              </a:solidFill>
            </a:ln>
          </c:spPr>
          <c:marker>
            <c:symbol val="none"/>
          </c:marker>
          <c:cat>
            <c:numRef>
              <c:f>AUX!$B$403:$N$403</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AUX!$B$404:$N$404</c:f>
              <c:numCache>
                <c:formatCode>0.0</c:formatCode>
                <c:ptCount val="13"/>
                <c:pt idx="0">
                  <c:v>10.463687714605671</c:v>
                </c:pt>
                <c:pt idx="1">
                  <c:v>10.481357614301229</c:v>
                </c:pt>
                <c:pt idx="2">
                  <c:v>10.385730670906113</c:v>
                </c:pt>
                <c:pt idx="3">
                  <c:v>9.5255971565741167</c:v>
                </c:pt>
                <c:pt idx="4">
                  <c:v>8.3228696533449682</c:v>
                </c:pt>
                <c:pt idx="5">
                  <c:v>8.199136220999117</c:v>
                </c:pt>
                <c:pt idx="6">
                  <c:v>6.9381773458027514</c:v>
                </c:pt>
                <c:pt idx="7">
                  <c:v>5.9493681860675363</c:v>
                </c:pt>
                <c:pt idx="8">
                  <c:v>5.4840260076201091</c:v>
                </c:pt>
                <c:pt idx="9">
                  <c:v>4.3856443242453036</c:v>
                </c:pt>
                <c:pt idx="10">
                  <c:v>4.7122301210620625</c:v>
                </c:pt>
                <c:pt idx="11">
                  <c:v>3.763259703697059</c:v>
                </c:pt>
                <c:pt idx="12">
                  <c:v>2.3591015361799461</c:v>
                </c:pt>
              </c:numCache>
            </c:numRef>
          </c:val>
        </c:ser>
        <c:ser>
          <c:idx val="2"/>
          <c:order val="1"/>
          <c:tx>
            <c:strRef>
              <c:f>AUX!$A$405</c:f>
              <c:strCache>
                <c:ptCount val="1"/>
                <c:pt idx="0">
                  <c:v>0</c:v>
                </c:pt>
              </c:strCache>
            </c:strRef>
          </c:tx>
          <c:spPr>
            <a:ln>
              <a:solidFill>
                <a:schemeClr val="tx2">
                  <a:lumMod val="75000"/>
                </a:schemeClr>
              </a:solidFill>
            </a:ln>
          </c:spPr>
          <c:marker>
            <c:symbol val="none"/>
          </c:marker>
          <c:cat>
            <c:numRef>
              <c:f>AUX!$B$403:$N$403</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AUX!$B$405:$N$405</c:f>
              <c:numCache>
                <c:formatCode>0.0</c:formatCode>
                <c:ptCount val="13"/>
              </c:numCache>
            </c:numRef>
          </c:val>
        </c:ser>
        <c:ser>
          <c:idx val="3"/>
          <c:order val="2"/>
          <c:tx>
            <c:strRef>
              <c:f>AUX!$A$406</c:f>
              <c:strCache>
                <c:ptCount val="1"/>
                <c:pt idx="0">
                  <c:v>0</c:v>
                </c:pt>
              </c:strCache>
            </c:strRef>
          </c:tx>
          <c:spPr>
            <a:ln>
              <a:solidFill>
                <a:srgbClr val="009999"/>
              </a:solidFill>
            </a:ln>
          </c:spPr>
          <c:marker>
            <c:symbol val="none"/>
          </c:marker>
          <c:cat>
            <c:numRef>
              <c:f>AUX!$B$403:$N$403</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AUX!$B$406:$N$406</c:f>
              <c:numCache>
                <c:formatCode>0.0</c:formatCode>
                <c:ptCount val="13"/>
              </c:numCache>
            </c:numRef>
          </c:val>
        </c:ser>
        <c:marker val="1"/>
        <c:axId val="282458368"/>
        <c:axId val="282333184"/>
      </c:lineChart>
      <c:catAx>
        <c:axId val="282458368"/>
        <c:scaling>
          <c:orientation val="minMax"/>
        </c:scaling>
        <c:axPos val="b"/>
        <c:numFmt formatCode="General" sourceLinked="1"/>
        <c:tickLblPos val="nextTo"/>
        <c:txPr>
          <a:bodyPr/>
          <a:lstStyle/>
          <a:p>
            <a:pPr>
              <a:defRPr lang="en-US" sz="900" b="0">
                <a:latin typeface="Arial" pitchFamily="34" charset="0"/>
                <a:cs typeface="Arial" pitchFamily="34" charset="0"/>
              </a:defRPr>
            </a:pPr>
            <a:endParaRPr lang="pt-PT"/>
          </a:p>
        </c:txPr>
        <c:crossAx val="282333184"/>
        <c:crosses val="autoZero"/>
        <c:auto val="1"/>
        <c:lblAlgn val="ctr"/>
        <c:lblOffset val="100"/>
        <c:tickLblSkip val="2"/>
      </c:catAx>
      <c:valAx>
        <c:axId val="282333184"/>
        <c:scaling>
          <c:orientation val="minMax"/>
        </c:scaling>
        <c:axPos val="l"/>
        <c:majorGridlines>
          <c:spPr>
            <a:ln w="3175">
              <a:solidFill>
                <a:schemeClr val="bg1">
                  <a:lumMod val="95000"/>
                </a:schemeClr>
              </a:solidFill>
            </a:ln>
          </c:spPr>
        </c:majorGridlines>
        <c:title>
          <c:tx>
            <c:rich>
              <a:bodyPr rot="-5400000" vert="horz"/>
              <a:lstStyle/>
              <a:p>
                <a:pPr>
                  <a:defRPr lang="en-US" sz="700" b="0">
                    <a:latin typeface="Arial" pitchFamily="34" charset="0"/>
                    <a:cs typeface="Arial" pitchFamily="34" charset="0"/>
                  </a:defRPr>
                </a:pPr>
                <a:r>
                  <a:rPr lang="en-US" sz="700" b="0">
                    <a:latin typeface="Arial" pitchFamily="34" charset="0"/>
                    <a:cs typeface="Arial" pitchFamily="34" charset="0"/>
                  </a:rPr>
                  <a:t>Taxa de incidência de sida (/100000 hab)</a:t>
                </a:r>
              </a:p>
            </c:rich>
          </c:tx>
          <c:layout>
            <c:manualLayout>
              <c:xMode val="edge"/>
              <c:yMode val="edge"/>
              <c:x val="1.0065442561205272E-2"/>
              <c:y val="2.8543981481481476E-2"/>
            </c:manualLayout>
          </c:layout>
        </c:title>
        <c:numFmt formatCode="0" sourceLinked="0"/>
        <c:tickLblPos val="nextTo"/>
        <c:txPr>
          <a:bodyPr/>
          <a:lstStyle/>
          <a:p>
            <a:pPr>
              <a:defRPr lang="en-US">
                <a:latin typeface="Arial" pitchFamily="34" charset="0"/>
                <a:cs typeface="Arial" pitchFamily="34" charset="0"/>
              </a:defRPr>
            </a:pPr>
            <a:endParaRPr lang="pt-PT"/>
          </a:p>
        </c:txPr>
        <c:crossAx val="282458368"/>
        <c:crosses val="autoZero"/>
        <c:crossBetween val="between"/>
      </c:valAx>
    </c:plotArea>
    <c:legend>
      <c:legendPos val="b"/>
      <c:layout>
        <c:manualLayout>
          <c:xMode val="edge"/>
          <c:yMode val="edge"/>
          <c:x val="3.0925141242937833E-2"/>
          <c:y val="0.80852256944444356"/>
          <c:w val="0.91925141242941188"/>
          <c:h val="0.1691968750000000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1876977401130279"/>
          <c:y val="7.4877160493827158E-2"/>
          <c:w val="0.85535969868174866"/>
          <c:h val="0.5995888888888885"/>
        </c:manualLayout>
      </c:layout>
      <c:lineChart>
        <c:grouping val="standard"/>
        <c:ser>
          <c:idx val="0"/>
          <c:order val="0"/>
          <c:tx>
            <c:strRef>
              <c:f>AUX!$A$411</c:f>
              <c:strCache>
                <c:ptCount val="1"/>
                <c:pt idx="0">
                  <c:v>Continente</c:v>
                </c:pt>
              </c:strCache>
            </c:strRef>
          </c:tx>
          <c:spPr>
            <a:ln>
              <a:solidFill>
                <a:srgbClr val="FF0000"/>
              </a:solidFill>
            </a:ln>
          </c:spPr>
          <c:marker>
            <c:symbol val="none"/>
          </c:marker>
          <c:cat>
            <c:numRef>
              <c:f>AUX!$B$410:$N$410</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AUX!$B$411:$N$411</c:f>
              <c:numCache>
                <c:formatCode>0.0</c:formatCode>
                <c:ptCount val="13"/>
                <c:pt idx="0">
                  <c:v>27.250461572540303</c:v>
                </c:pt>
                <c:pt idx="1">
                  <c:v>23.980536068275665</c:v>
                </c:pt>
                <c:pt idx="2">
                  <c:v>22.99769458940704</c:v>
                </c:pt>
                <c:pt idx="3">
                  <c:v>21.299596592466045</c:v>
                </c:pt>
                <c:pt idx="4">
                  <c:v>20.581825677044414</c:v>
                </c:pt>
                <c:pt idx="5">
                  <c:v>19.167980653238182</c:v>
                </c:pt>
                <c:pt idx="6">
                  <c:v>19.287134722432974</c:v>
                </c:pt>
                <c:pt idx="7">
                  <c:v>18.824717761275672</c:v>
                </c:pt>
                <c:pt idx="8">
                  <c:v>18.183875709477203</c:v>
                </c:pt>
                <c:pt idx="9">
                  <c:v>16.508321039109305</c:v>
                </c:pt>
                <c:pt idx="10">
                  <c:v>15.339601427845492</c:v>
                </c:pt>
                <c:pt idx="11">
                  <c:v>12.763224709364101</c:v>
                </c:pt>
                <c:pt idx="12">
                  <c:v>7.3871865899872038</c:v>
                </c:pt>
              </c:numCache>
            </c:numRef>
          </c:val>
        </c:ser>
        <c:ser>
          <c:idx val="2"/>
          <c:order val="1"/>
          <c:tx>
            <c:strRef>
              <c:f>AUX!$A$412</c:f>
              <c:strCache>
                <c:ptCount val="1"/>
                <c:pt idx="0">
                  <c:v>0</c:v>
                </c:pt>
              </c:strCache>
            </c:strRef>
          </c:tx>
          <c:spPr>
            <a:ln>
              <a:solidFill>
                <a:schemeClr val="tx2">
                  <a:lumMod val="75000"/>
                </a:schemeClr>
              </a:solidFill>
            </a:ln>
          </c:spPr>
          <c:marker>
            <c:symbol val="none"/>
          </c:marker>
          <c:cat>
            <c:numRef>
              <c:f>AUX!$B$410:$N$410</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AUX!$B$412:$N$412</c:f>
              <c:numCache>
                <c:formatCode>0.0</c:formatCode>
                <c:ptCount val="13"/>
              </c:numCache>
            </c:numRef>
          </c:val>
        </c:ser>
        <c:ser>
          <c:idx val="3"/>
          <c:order val="2"/>
          <c:tx>
            <c:strRef>
              <c:f>AUX!$A$413</c:f>
              <c:strCache>
                <c:ptCount val="1"/>
                <c:pt idx="0">
                  <c:v>0</c:v>
                </c:pt>
              </c:strCache>
            </c:strRef>
          </c:tx>
          <c:spPr>
            <a:ln>
              <a:solidFill>
                <a:srgbClr val="009999"/>
              </a:solidFill>
            </a:ln>
          </c:spPr>
          <c:marker>
            <c:symbol val="none"/>
          </c:marker>
          <c:cat>
            <c:numRef>
              <c:f>AUX!$B$410:$N$410</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AUX!$B$413:$N$413</c:f>
              <c:numCache>
                <c:formatCode>0.0</c:formatCode>
                <c:ptCount val="13"/>
              </c:numCache>
            </c:numRef>
          </c:val>
        </c:ser>
        <c:marker val="1"/>
        <c:axId val="282386432"/>
        <c:axId val="282387968"/>
      </c:lineChart>
      <c:catAx>
        <c:axId val="282386432"/>
        <c:scaling>
          <c:orientation val="minMax"/>
        </c:scaling>
        <c:axPos val="b"/>
        <c:numFmt formatCode="General" sourceLinked="1"/>
        <c:tickLblPos val="nextTo"/>
        <c:txPr>
          <a:bodyPr/>
          <a:lstStyle/>
          <a:p>
            <a:pPr>
              <a:defRPr lang="en-US" sz="900" b="0">
                <a:latin typeface="Arial" pitchFamily="34" charset="0"/>
                <a:cs typeface="Arial" pitchFamily="34" charset="0"/>
              </a:defRPr>
            </a:pPr>
            <a:endParaRPr lang="pt-PT"/>
          </a:p>
        </c:txPr>
        <c:crossAx val="282387968"/>
        <c:crosses val="autoZero"/>
        <c:auto val="1"/>
        <c:lblAlgn val="ctr"/>
        <c:lblOffset val="100"/>
        <c:tickLblSkip val="2"/>
      </c:catAx>
      <c:valAx>
        <c:axId val="282387968"/>
        <c:scaling>
          <c:orientation val="minMax"/>
        </c:scaling>
        <c:axPos val="l"/>
        <c:majorGridlines>
          <c:spPr>
            <a:ln w="3175">
              <a:solidFill>
                <a:schemeClr val="bg1">
                  <a:lumMod val="95000"/>
                </a:schemeClr>
              </a:solidFill>
            </a:ln>
          </c:spPr>
        </c:majorGridlines>
        <c:title>
          <c:tx>
            <c:rich>
              <a:bodyPr rot="-5400000" vert="horz"/>
              <a:lstStyle/>
              <a:p>
                <a:pPr>
                  <a:defRPr lang="en-US" sz="700" b="0">
                    <a:latin typeface="Arial" pitchFamily="34" charset="0"/>
                    <a:cs typeface="Arial" pitchFamily="34" charset="0"/>
                  </a:defRPr>
                </a:pPr>
                <a:r>
                  <a:rPr lang="en-US" sz="700" b="0">
                    <a:latin typeface="Arial" pitchFamily="34" charset="0"/>
                    <a:cs typeface="Arial" pitchFamily="34" charset="0"/>
                  </a:rPr>
                  <a:t>Taxa de incidência </a:t>
                </a:r>
                <a:r>
                  <a:rPr lang="en-US" sz="700" b="0" i="0" u="none" strike="noStrike" baseline="0"/>
                  <a:t>da infecção VIH </a:t>
                </a:r>
                <a:r>
                  <a:rPr lang="en-US" sz="700" b="0">
                    <a:latin typeface="Arial" pitchFamily="34" charset="0"/>
                    <a:cs typeface="Arial" pitchFamily="34" charset="0"/>
                  </a:rPr>
                  <a:t>(/100000 hab)</a:t>
                </a:r>
              </a:p>
            </c:rich>
          </c:tx>
          <c:layout>
            <c:manualLayout>
              <c:xMode val="edge"/>
              <c:yMode val="edge"/>
              <c:x val="1.0065442561205272E-2"/>
              <c:y val="2.8543981481481476E-2"/>
            </c:manualLayout>
          </c:layout>
        </c:title>
        <c:numFmt formatCode="0" sourceLinked="0"/>
        <c:tickLblPos val="nextTo"/>
        <c:txPr>
          <a:bodyPr/>
          <a:lstStyle/>
          <a:p>
            <a:pPr>
              <a:defRPr lang="en-US">
                <a:latin typeface="Arial" pitchFamily="34" charset="0"/>
                <a:cs typeface="Arial" pitchFamily="34" charset="0"/>
              </a:defRPr>
            </a:pPr>
            <a:endParaRPr lang="pt-PT"/>
          </a:p>
        </c:txPr>
        <c:crossAx val="282386432"/>
        <c:crosses val="autoZero"/>
        <c:crossBetween val="between"/>
      </c:valAx>
    </c:plotArea>
    <c:legend>
      <c:legendPos val="b"/>
      <c:layout>
        <c:manualLayout>
          <c:xMode val="edge"/>
          <c:yMode val="edge"/>
          <c:x val="3.0925141242937833E-2"/>
          <c:y val="0.80852256944444356"/>
          <c:w val="0.91925141242941233"/>
          <c:h val="0.1691968750000000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1876977401130283"/>
          <c:y val="7.4877160493827158E-2"/>
          <c:w val="0.85535969868174888"/>
          <c:h val="0.5995888888888885"/>
        </c:manualLayout>
      </c:layout>
      <c:lineChart>
        <c:grouping val="standard"/>
        <c:ser>
          <c:idx val="0"/>
          <c:order val="0"/>
          <c:tx>
            <c:strRef>
              <c:f>AUX!$A$419</c:f>
              <c:strCache>
                <c:ptCount val="1"/>
                <c:pt idx="0">
                  <c:v>Continente</c:v>
                </c:pt>
              </c:strCache>
            </c:strRef>
          </c:tx>
          <c:spPr>
            <a:ln>
              <a:solidFill>
                <a:srgbClr val="FF0000"/>
              </a:solidFill>
            </a:ln>
          </c:spPr>
          <c:marker>
            <c:symbol val="none"/>
          </c:marker>
          <c:cat>
            <c:numRef>
              <c:f>AUX!$B$418:$N$418</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AUX!$B$419:$N$419</c:f>
              <c:numCache>
                <c:formatCode>0.0</c:formatCode>
                <c:ptCount val="13"/>
                <c:pt idx="0">
                  <c:v>40.630927733907399</c:v>
                </c:pt>
                <c:pt idx="1">
                  <c:v>38.94811727980921</c:v>
                </c:pt>
                <c:pt idx="2">
                  <c:v>40.747119848511375</c:v>
                </c:pt>
                <c:pt idx="3">
                  <c:v>37.550325566642542</c:v>
                </c:pt>
                <c:pt idx="4">
                  <c:v>34.793801655499905</c:v>
                </c:pt>
                <c:pt idx="5">
                  <c:v>32.436582806001383</c:v>
                </c:pt>
                <c:pt idx="6">
                  <c:v>30.81748700214834</c:v>
                </c:pt>
                <c:pt idx="7">
                  <c:v>28.132439513012823</c:v>
                </c:pt>
                <c:pt idx="8">
                  <c:v>26.663712657739147</c:v>
                </c:pt>
                <c:pt idx="9">
                  <c:v>25.866351218508019</c:v>
                </c:pt>
                <c:pt idx="10">
                  <c:v>24.754120256212104</c:v>
                </c:pt>
                <c:pt idx="11">
                  <c:v>23.724465274894424</c:v>
                </c:pt>
                <c:pt idx="12">
                  <c:v>23.581019168849544</c:v>
                </c:pt>
              </c:numCache>
            </c:numRef>
          </c:val>
        </c:ser>
        <c:ser>
          <c:idx val="2"/>
          <c:order val="1"/>
          <c:tx>
            <c:strRef>
              <c:f>AUX!$A$420</c:f>
              <c:strCache>
                <c:ptCount val="1"/>
                <c:pt idx="0">
                  <c:v>0</c:v>
                </c:pt>
              </c:strCache>
            </c:strRef>
          </c:tx>
          <c:spPr>
            <a:ln>
              <a:solidFill>
                <a:schemeClr val="tx2">
                  <a:lumMod val="75000"/>
                </a:schemeClr>
              </a:solidFill>
            </a:ln>
          </c:spPr>
          <c:marker>
            <c:symbol val="none"/>
          </c:marker>
          <c:cat>
            <c:numRef>
              <c:f>AUX!$B$418:$N$418</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AUX!$B$420:$N$420</c:f>
              <c:numCache>
                <c:formatCode>0.0</c:formatCode>
                <c:ptCount val="13"/>
              </c:numCache>
            </c:numRef>
          </c:val>
        </c:ser>
        <c:ser>
          <c:idx val="3"/>
          <c:order val="2"/>
          <c:tx>
            <c:strRef>
              <c:f>AUX!$A$421</c:f>
              <c:strCache>
                <c:ptCount val="1"/>
                <c:pt idx="0">
                  <c:v>0</c:v>
                </c:pt>
              </c:strCache>
            </c:strRef>
          </c:tx>
          <c:spPr>
            <a:ln>
              <a:solidFill>
                <a:srgbClr val="009999"/>
              </a:solidFill>
            </a:ln>
          </c:spPr>
          <c:marker>
            <c:symbol val="none"/>
          </c:marker>
          <c:cat>
            <c:numRef>
              <c:f>AUX!$B$418:$N$418</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AUX!$B$421:$N$421</c:f>
              <c:numCache>
                <c:formatCode>0.0</c:formatCode>
                <c:ptCount val="13"/>
              </c:numCache>
            </c:numRef>
          </c:val>
        </c:ser>
        <c:marker val="1"/>
        <c:axId val="282675072"/>
        <c:axId val="282676608"/>
      </c:lineChart>
      <c:catAx>
        <c:axId val="282675072"/>
        <c:scaling>
          <c:orientation val="minMax"/>
        </c:scaling>
        <c:axPos val="b"/>
        <c:numFmt formatCode="General" sourceLinked="1"/>
        <c:tickLblPos val="nextTo"/>
        <c:txPr>
          <a:bodyPr/>
          <a:lstStyle/>
          <a:p>
            <a:pPr>
              <a:defRPr lang="en-US" sz="900" b="0">
                <a:latin typeface="Arial" pitchFamily="34" charset="0"/>
                <a:cs typeface="Arial" pitchFamily="34" charset="0"/>
              </a:defRPr>
            </a:pPr>
            <a:endParaRPr lang="pt-PT"/>
          </a:p>
        </c:txPr>
        <c:crossAx val="282676608"/>
        <c:crosses val="autoZero"/>
        <c:auto val="1"/>
        <c:lblAlgn val="ctr"/>
        <c:lblOffset val="100"/>
        <c:tickLblSkip val="2"/>
      </c:catAx>
      <c:valAx>
        <c:axId val="282676608"/>
        <c:scaling>
          <c:orientation val="minMax"/>
        </c:scaling>
        <c:axPos val="l"/>
        <c:majorGridlines>
          <c:spPr>
            <a:ln w="3175">
              <a:solidFill>
                <a:schemeClr val="bg1">
                  <a:lumMod val="95000"/>
                </a:schemeClr>
              </a:solidFill>
            </a:ln>
          </c:spPr>
        </c:majorGridlines>
        <c:title>
          <c:tx>
            <c:rich>
              <a:bodyPr rot="-5400000" vert="horz"/>
              <a:lstStyle/>
              <a:p>
                <a:pPr>
                  <a:defRPr lang="en-US" sz="700" b="0">
                    <a:latin typeface=""/>
                    <a:cs typeface="Arial" pitchFamily="34" charset="0"/>
                  </a:defRPr>
                </a:pPr>
                <a:r>
                  <a:rPr lang="en-US" sz="700" b="0" i="0" baseline="0">
                    <a:latin typeface=""/>
                  </a:rPr>
                  <a:t>Taxa de incidência de tuberculose (/100000 hab)</a:t>
                </a:r>
                <a:endParaRPr lang="pt-PT" sz="700">
                  <a:latin typeface=""/>
                </a:endParaRPr>
              </a:p>
            </c:rich>
          </c:tx>
          <c:layout>
            <c:manualLayout>
              <c:xMode val="edge"/>
              <c:yMode val="edge"/>
              <c:x val="1.0065442561205272E-2"/>
              <c:y val="2.8543981481481476E-2"/>
            </c:manualLayout>
          </c:layout>
        </c:title>
        <c:numFmt formatCode="0" sourceLinked="0"/>
        <c:tickLblPos val="nextTo"/>
        <c:txPr>
          <a:bodyPr/>
          <a:lstStyle/>
          <a:p>
            <a:pPr>
              <a:defRPr lang="en-US">
                <a:latin typeface="Arial" pitchFamily="34" charset="0"/>
                <a:cs typeface="Arial" pitchFamily="34" charset="0"/>
              </a:defRPr>
            </a:pPr>
            <a:endParaRPr lang="pt-PT"/>
          </a:p>
        </c:txPr>
        <c:crossAx val="282675072"/>
        <c:crosses val="autoZero"/>
        <c:crossBetween val="between"/>
      </c:valAx>
    </c:plotArea>
    <c:legend>
      <c:legendPos val="b"/>
      <c:layout>
        <c:manualLayout>
          <c:xMode val="edge"/>
          <c:yMode val="edge"/>
          <c:x val="3.0925141242937833E-2"/>
          <c:y val="0.80852256944444356"/>
          <c:w val="0.91925141242941277"/>
          <c:h val="0.1691968750000000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3">
                <a:lumMod val="20000"/>
                <a:lumOff val="80000"/>
              </a:schemeClr>
            </a:solidFill>
            <a:ln>
              <a:solidFill>
                <a:schemeClr val="accent3">
                  <a:lumMod val="20000"/>
                  <a:lumOff val="80000"/>
                </a:schemeClr>
              </a:solidFill>
            </a:ln>
          </c:spPr>
          <c:cat>
            <c:strRef>
              <c:f>AUX!$C$434</c:f>
              <c:strCache>
                <c:ptCount val="1"/>
                <c:pt idx="0">
                  <c:v>Índce de Envelhecimento</c:v>
                </c:pt>
              </c:strCache>
            </c:strRef>
          </c:cat>
          <c:val>
            <c:numRef>
              <c:f>AUX!$C$460</c:f>
              <c:numCache>
                <c:formatCode>0.0</c:formatCode>
                <c:ptCount val="1"/>
                <c:pt idx="0">
                  <c:v>51.946854146241719</c:v>
                </c:pt>
              </c:numCache>
            </c:numRef>
          </c:val>
        </c:ser>
        <c:ser>
          <c:idx val="1"/>
          <c:order val="1"/>
          <c:tx>
            <c:strRef>
              <c:f>AUX!$A$461</c:f>
              <c:strCache>
                <c:ptCount val="1"/>
                <c:pt idx="0">
                  <c:v>2Q Box</c:v>
                </c:pt>
              </c:strCache>
            </c:strRef>
          </c:tx>
          <c:spPr>
            <a:solidFill>
              <a:schemeClr val="accent3">
                <a:lumMod val="60000"/>
                <a:lumOff val="40000"/>
              </a:schemeClr>
            </a:solidFill>
            <a:ln>
              <a:solidFill>
                <a:schemeClr val="accent3">
                  <a:lumMod val="20000"/>
                  <a:lumOff val="80000"/>
                </a:schemeClr>
              </a:solidFill>
            </a:ln>
          </c:spPr>
          <c:cat>
            <c:strRef>
              <c:f>AUX!$C$434</c:f>
              <c:strCache>
                <c:ptCount val="1"/>
                <c:pt idx="0">
                  <c:v>Índce de Envelhecimento</c:v>
                </c:pt>
              </c:strCache>
            </c:strRef>
          </c:cat>
          <c:val>
            <c:numRef>
              <c:f>AUX!$C$461</c:f>
              <c:numCache>
                <c:formatCode>0.0</c:formatCode>
                <c:ptCount val="1"/>
                <c:pt idx="0">
                  <c:v>20.52336551353234</c:v>
                </c:pt>
              </c:numCache>
            </c:numRef>
          </c:val>
        </c:ser>
        <c:ser>
          <c:idx val="2"/>
          <c:order val="2"/>
          <c:tx>
            <c:strRef>
              <c:f>AUX!$A$462</c:f>
              <c:strCache>
                <c:ptCount val="1"/>
                <c:pt idx="0">
                  <c:v>3Q Box</c:v>
                </c:pt>
              </c:strCache>
            </c:strRef>
          </c:tx>
          <c:spPr>
            <a:solidFill>
              <a:schemeClr val="accent3">
                <a:lumMod val="60000"/>
                <a:lumOff val="40000"/>
              </a:schemeClr>
            </a:solidFill>
            <a:ln>
              <a:solidFill>
                <a:schemeClr val="accent3">
                  <a:lumMod val="20000"/>
                  <a:lumOff val="80000"/>
                </a:schemeClr>
              </a:solidFill>
            </a:ln>
          </c:spPr>
          <c:cat>
            <c:strRef>
              <c:f>AUX!$C$434</c:f>
              <c:strCache>
                <c:ptCount val="1"/>
                <c:pt idx="0">
                  <c:v>Índce de Envelhecimento</c:v>
                </c:pt>
              </c:strCache>
            </c:strRef>
          </c:cat>
          <c:val>
            <c:numRef>
              <c:f>AUX!$C$462</c:f>
              <c:numCache>
                <c:formatCode>0.0</c:formatCode>
                <c:ptCount val="1"/>
                <c:pt idx="0">
                  <c:v>10.891000223970067</c:v>
                </c:pt>
              </c:numCache>
            </c:numRef>
          </c:val>
        </c:ser>
        <c:ser>
          <c:idx val="3"/>
          <c:order val="3"/>
          <c:tx>
            <c:strRef>
              <c:f>AUX!$A$464</c:f>
              <c:strCache>
                <c:ptCount val="1"/>
                <c:pt idx="0">
                  <c:v>bar2</c:v>
                </c:pt>
              </c:strCache>
            </c:strRef>
          </c:tx>
          <c:spPr>
            <a:solidFill>
              <a:schemeClr val="accent3">
                <a:lumMod val="20000"/>
                <a:lumOff val="80000"/>
              </a:schemeClr>
            </a:solidFill>
            <a:ln>
              <a:solidFill>
                <a:schemeClr val="accent3">
                  <a:lumMod val="20000"/>
                  <a:lumOff val="80000"/>
                </a:schemeClr>
              </a:solidFill>
            </a:ln>
          </c:spPr>
          <c:cat>
            <c:strRef>
              <c:f>AUX!$C$434</c:f>
              <c:strCache>
                <c:ptCount val="1"/>
                <c:pt idx="0">
                  <c:v>Índce de Envelhecimento</c:v>
                </c:pt>
              </c:strCache>
            </c:strRef>
          </c:cat>
          <c:val>
            <c:numRef>
              <c:f>AUX!$C$464</c:f>
              <c:numCache>
                <c:formatCode>0.0</c:formatCode>
                <c:ptCount val="1"/>
                <c:pt idx="0">
                  <c:v>16.638780116255873</c:v>
                </c:pt>
              </c:numCache>
            </c:numRef>
          </c:val>
        </c:ser>
        <c:gapWidth val="0"/>
        <c:overlap val="100"/>
        <c:axId val="282840064"/>
        <c:axId val="282854528"/>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AUX!$C$456</c:f>
              <c:numCache>
                <c:formatCode>0.0</c:formatCode>
                <c:ptCount val="1"/>
                <c:pt idx="0">
                  <c:v>129.77902282078088</c:v>
                </c:pt>
              </c:numCache>
            </c:numRef>
          </c:xVal>
          <c:yVal>
            <c:numRef>
              <c:f>AUX!$C$434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AUX!$C$458</c:f>
              <c:numCache>
                <c:formatCode>0.0</c:formatCode>
                <c:ptCount val="1"/>
                <c:pt idx="0">
                  <c:v>129.77902282078088</c:v>
                </c:pt>
              </c:numCache>
            </c:numRef>
          </c:xVal>
          <c:yVal>
            <c:numRef>
              <c:f>AUX!$C$434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AUX!$C$457</c:f>
              <c:numCache>
                <c:formatCode>0.0</c:formatCode>
                <c:ptCount val="1"/>
                <c:pt idx="0">
                  <c:v>71.728465918923774</c:v>
                </c:pt>
              </c:numCache>
            </c:numRef>
          </c:xVal>
          <c:yVal>
            <c:numRef>
              <c:f>AUX!$C$434</c:f>
              <c:numCache>
                <c:formatCode>General</c:formatCode>
                <c:ptCount val="1"/>
                <c:pt idx="0">
                  <c:v>0</c:v>
                </c:pt>
              </c:numCache>
            </c:numRef>
          </c:yVal>
        </c:ser>
        <c:axId val="282866048"/>
        <c:axId val="282856064"/>
      </c:scatterChart>
      <c:catAx>
        <c:axId val="282840064"/>
        <c:scaling>
          <c:orientation val="minMax"/>
        </c:scaling>
        <c:delete val="1"/>
        <c:axPos val="l"/>
        <c:tickLblPos val="none"/>
        <c:crossAx val="282854528"/>
        <c:crosses val="autoZero"/>
        <c:auto val="1"/>
        <c:lblAlgn val="ctr"/>
        <c:lblOffset val="100"/>
      </c:catAx>
      <c:valAx>
        <c:axId val="282854528"/>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2840064"/>
        <c:crosses val="autoZero"/>
        <c:crossBetween val="between"/>
      </c:valAx>
      <c:valAx>
        <c:axId val="282856064"/>
        <c:scaling>
          <c:orientation val="minMax"/>
          <c:max val="0.5"/>
          <c:min val="-0.5"/>
        </c:scaling>
        <c:delete val="1"/>
        <c:axPos val="r"/>
        <c:numFmt formatCode="General" sourceLinked="1"/>
        <c:tickLblPos val="none"/>
        <c:crossAx val="282866048"/>
        <c:crosses val="max"/>
        <c:crossBetween val="midCat"/>
      </c:valAx>
      <c:valAx>
        <c:axId val="282866048"/>
        <c:scaling>
          <c:orientation val="minMax"/>
        </c:scaling>
        <c:delete val="1"/>
        <c:axPos val="b"/>
        <c:numFmt formatCode="0.0" sourceLinked="1"/>
        <c:tickLblPos val="none"/>
        <c:crossAx val="282856064"/>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3">
                <a:lumMod val="20000"/>
                <a:lumOff val="80000"/>
              </a:schemeClr>
            </a:solidFill>
            <a:ln>
              <a:solidFill>
                <a:schemeClr val="accent3">
                  <a:lumMod val="20000"/>
                  <a:lumOff val="80000"/>
                </a:schemeClr>
              </a:solidFill>
            </a:ln>
          </c:spPr>
          <c:cat>
            <c:strRef>
              <c:f>AUX!$D$434</c:f>
              <c:strCache>
                <c:ptCount val="1"/>
                <c:pt idx="0">
                  <c:v>Taxa Bruta de Natalidade</c:v>
                </c:pt>
              </c:strCache>
            </c:strRef>
          </c:cat>
          <c:val>
            <c:numRef>
              <c:f>AUX!$D$460</c:f>
              <c:numCache>
                <c:formatCode>0.0</c:formatCode>
                <c:ptCount val="1"/>
                <c:pt idx="0">
                  <c:v>34.343118222695928</c:v>
                </c:pt>
              </c:numCache>
            </c:numRef>
          </c:val>
        </c:ser>
        <c:ser>
          <c:idx val="1"/>
          <c:order val="1"/>
          <c:tx>
            <c:strRef>
              <c:f>AUX!$A$461</c:f>
              <c:strCache>
                <c:ptCount val="1"/>
                <c:pt idx="0">
                  <c:v>2Q Box</c:v>
                </c:pt>
              </c:strCache>
            </c:strRef>
          </c:tx>
          <c:spPr>
            <a:solidFill>
              <a:schemeClr val="accent3">
                <a:lumMod val="60000"/>
                <a:lumOff val="40000"/>
              </a:schemeClr>
            </a:solidFill>
            <a:ln>
              <a:solidFill>
                <a:schemeClr val="accent3">
                  <a:lumMod val="20000"/>
                  <a:lumOff val="80000"/>
                </a:schemeClr>
              </a:solidFill>
            </a:ln>
          </c:spPr>
          <c:cat>
            <c:strRef>
              <c:f>AUX!$D$434</c:f>
              <c:strCache>
                <c:ptCount val="1"/>
                <c:pt idx="0">
                  <c:v>Taxa Bruta de Natalidade</c:v>
                </c:pt>
              </c:strCache>
            </c:strRef>
          </c:cat>
          <c:val>
            <c:numRef>
              <c:f>AUX!$D$461</c:f>
              <c:numCache>
                <c:formatCode>0.0</c:formatCode>
                <c:ptCount val="1"/>
                <c:pt idx="0">
                  <c:v>14.384300994682299</c:v>
                </c:pt>
              </c:numCache>
            </c:numRef>
          </c:val>
        </c:ser>
        <c:ser>
          <c:idx val="2"/>
          <c:order val="2"/>
          <c:tx>
            <c:strRef>
              <c:f>AUX!$A$462</c:f>
              <c:strCache>
                <c:ptCount val="1"/>
                <c:pt idx="0">
                  <c:v>3Q Box</c:v>
                </c:pt>
              </c:strCache>
            </c:strRef>
          </c:tx>
          <c:spPr>
            <a:solidFill>
              <a:schemeClr val="accent3">
                <a:lumMod val="60000"/>
                <a:lumOff val="40000"/>
              </a:schemeClr>
            </a:solidFill>
            <a:ln>
              <a:solidFill>
                <a:schemeClr val="accent3">
                  <a:lumMod val="20000"/>
                  <a:lumOff val="80000"/>
                </a:schemeClr>
              </a:solidFill>
            </a:ln>
          </c:spPr>
          <c:cat>
            <c:strRef>
              <c:f>AUX!$D$434</c:f>
              <c:strCache>
                <c:ptCount val="1"/>
                <c:pt idx="0">
                  <c:v>Taxa Bruta de Natalidade</c:v>
                </c:pt>
              </c:strCache>
            </c:strRef>
          </c:cat>
          <c:val>
            <c:numRef>
              <c:f>AUX!$D$462</c:f>
              <c:numCache>
                <c:formatCode>0.0</c:formatCode>
                <c:ptCount val="1"/>
                <c:pt idx="0">
                  <c:v>17.444453348896033</c:v>
                </c:pt>
              </c:numCache>
            </c:numRef>
          </c:val>
        </c:ser>
        <c:ser>
          <c:idx val="3"/>
          <c:order val="3"/>
          <c:tx>
            <c:strRef>
              <c:f>AUX!$A$464</c:f>
              <c:strCache>
                <c:ptCount val="1"/>
                <c:pt idx="0">
                  <c:v>bar2</c:v>
                </c:pt>
              </c:strCache>
            </c:strRef>
          </c:tx>
          <c:spPr>
            <a:solidFill>
              <a:schemeClr val="accent3">
                <a:lumMod val="20000"/>
                <a:lumOff val="80000"/>
              </a:schemeClr>
            </a:solidFill>
            <a:ln>
              <a:solidFill>
                <a:schemeClr val="accent3">
                  <a:lumMod val="20000"/>
                  <a:lumOff val="80000"/>
                </a:schemeClr>
              </a:solidFill>
            </a:ln>
          </c:spPr>
          <c:cat>
            <c:strRef>
              <c:f>AUX!$D$434</c:f>
              <c:strCache>
                <c:ptCount val="1"/>
                <c:pt idx="0">
                  <c:v>Taxa Bruta de Natalidade</c:v>
                </c:pt>
              </c:strCache>
            </c:strRef>
          </c:cat>
          <c:val>
            <c:numRef>
              <c:f>AUX!$D$464</c:f>
              <c:numCache>
                <c:formatCode>0.0</c:formatCode>
                <c:ptCount val="1"/>
                <c:pt idx="0">
                  <c:v>33.82812743372574</c:v>
                </c:pt>
              </c:numCache>
            </c:numRef>
          </c:val>
        </c:ser>
        <c:gapWidth val="0"/>
        <c:overlap val="100"/>
        <c:axId val="282907392"/>
        <c:axId val="282909312"/>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AUX!$D$456</c:f>
              <c:numCache>
                <c:formatCode>0.0</c:formatCode>
                <c:ptCount val="1"/>
                <c:pt idx="0">
                  <c:v>-86.729560309481457</c:v>
                </c:pt>
              </c:numCache>
            </c:numRef>
          </c:xVal>
          <c:yVal>
            <c:numRef>
              <c:f>AUX!$D$434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AUX!$D$458</c:f>
              <c:numCache>
                <c:formatCode>0.0</c:formatCode>
                <c:ptCount val="1"/>
                <c:pt idx="0">
                  <c:v>-86.729560309481457</c:v>
                </c:pt>
              </c:numCache>
            </c:numRef>
          </c:xVal>
          <c:yVal>
            <c:numRef>
              <c:f>AUX!$D$434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AUX!$D$457</c:f>
              <c:numCache>
                <c:formatCode>0.0</c:formatCode>
                <c:ptCount val="1"/>
                <c:pt idx="0">
                  <c:v>56.514954549696917</c:v>
                </c:pt>
              </c:numCache>
            </c:numRef>
          </c:xVal>
          <c:yVal>
            <c:numRef>
              <c:f>AUX!$D$434</c:f>
              <c:numCache>
                <c:formatCode>General</c:formatCode>
                <c:ptCount val="1"/>
                <c:pt idx="0">
                  <c:v>0</c:v>
                </c:pt>
              </c:numCache>
            </c:numRef>
          </c:yVal>
        </c:ser>
        <c:axId val="282929024"/>
        <c:axId val="282927488"/>
      </c:scatterChart>
      <c:catAx>
        <c:axId val="282907392"/>
        <c:scaling>
          <c:orientation val="minMax"/>
        </c:scaling>
        <c:delete val="1"/>
        <c:axPos val="l"/>
        <c:tickLblPos val="none"/>
        <c:crossAx val="282909312"/>
        <c:crosses val="autoZero"/>
        <c:auto val="1"/>
        <c:lblAlgn val="ctr"/>
        <c:lblOffset val="100"/>
      </c:catAx>
      <c:valAx>
        <c:axId val="282909312"/>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2907392"/>
        <c:crosses val="autoZero"/>
        <c:crossBetween val="between"/>
      </c:valAx>
      <c:valAx>
        <c:axId val="282927488"/>
        <c:scaling>
          <c:orientation val="minMax"/>
          <c:max val="0.5"/>
          <c:min val="-0.5"/>
        </c:scaling>
        <c:delete val="1"/>
        <c:axPos val="r"/>
        <c:numFmt formatCode="General" sourceLinked="1"/>
        <c:tickLblPos val="none"/>
        <c:crossAx val="282929024"/>
        <c:crosses val="max"/>
        <c:crossBetween val="midCat"/>
      </c:valAx>
      <c:valAx>
        <c:axId val="282929024"/>
        <c:scaling>
          <c:orientation val="minMax"/>
        </c:scaling>
        <c:delete val="1"/>
        <c:axPos val="b"/>
        <c:numFmt formatCode="0.0" sourceLinked="1"/>
        <c:tickLblPos val="none"/>
        <c:crossAx val="282927488"/>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3">
                <a:lumMod val="20000"/>
                <a:lumOff val="80000"/>
              </a:schemeClr>
            </a:solidFill>
            <a:ln>
              <a:solidFill>
                <a:schemeClr val="accent3">
                  <a:lumMod val="20000"/>
                  <a:lumOff val="80000"/>
                </a:schemeClr>
              </a:solidFill>
            </a:ln>
          </c:spPr>
          <c:cat>
            <c:strRef>
              <c:f>AUX!$E$434</c:f>
              <c:strCache>
                <c:ptCount val="1"/>
                <c:pt idx="0">
                  <c:v>ISF</c:v>
                </c:pt>
              </c:strCache>
            </c:strRef>
          </c:cat>
          <c:val>
            <c:numRef>
              <c:f>AUX!$E$460</c:f>
              <c:numCache>
                <c:formatCode>0.0</c:formatCode>
                <c:ptCount val="1"/>
                <c:pt idx="0">
                  <c:v>19.606563765011362</c:v>
                </c:pt>
              </c:numCache>
            </c:numRef>
          </c:val>
        </c:ser>
        <c:ser>
          <c:idx val="1"/>
          <c:order val="1"/>
          <c:tx>
            <c:strRef>
              <c:f>AUX!$A$461</c:f>
              <c:strCache>
                <c:ptCount val="1"/>
                <c:pt idx="0">
                  <c:v>2Q Box</c:v>
                </c:pt>
              </c:strCache>
            </c:strRef>
          </c:tx>
          <c:spPr>
            <a:solidFill>
              <a:schemeClr val="accent3">
                <a:lumMod val="60000"/>
                <a:lumOff val="40000"/>
              </a:schemeClr>
            </a:solidFill>
            <a:ln>
              <a:solidFill>
                <a:schemeClr val="accent3">
                  <a:lumMod val="20000"/>
                  <a:lumOff val="80000"/>
                </a:schemeClr>
              </a:solidFill>
            </a:ln>
          </c:spPr>
          <c:cat>
            <c:strRef>
              <c:f>AUX!$E$434</c:f>
              <c:strCache>
                <c:ptCount val="1"/>
                <c:pt idx="0">
                  <c:v>ISF</c:v>
                </c:pt>
              </c:strCache>
            </c:strRef>
          </c:cat>
          <c:val>
            <c:numRef>
              <c:f>AUX!$E$461</c:f>
              <c:numCache>
                <c:formatCode>0.0</c:formatCode>
                <c:ptCount val="1"/>
                <c:pt idx="0">
                  <c:v>13.658007313207431</c:v>
                </c:pt>
              </c:numCache>
            </c:numRef>
          </c:val>
        </c:ser>
        <c:ser>
          <c:idx val="2"/>
          <c:order val="2"/>
          <c:tx>
            <c:strRef>
              <c:f>AUX!$A$462</c:f>
              <c:strCache>
                <c:ptCount val="1"/>
                <c:pt idx="0">
                  <c:v>3Q Box</c:v>
                </c:pt>
              </c:strCache>
            </c:strRef>
          </c:tx>
          <c:spPr>
            <a:solidFill>
              <a:schemeClr val="accent3">
                <a:lumMod val="60000"/>
                <a:lumOff val="40000"/>
              </a:schemeClr>
            </a:solidFill>
            <a:ln>
              <a:solidFill>
                <a:schemeClr val="accent3">
                  <a:lumMod val="20000"/>
                  <a:lumOff val="80000"/>
                </a:schemeClr>
              </a:solidFill>
            </a:ln>
          </c:spPr>
          <c:cat>
            <c:strRef>
              <c:f>AUX!$E$434</c:f>
              <c:strCache>
                <c:ptCount val="1"/>
                <c:pt idx="0">
                  <c:v>ISF</c:v>
                </c:pt>
              </c:strCache>
            </c:strRef>
          </c:cat>
          <c:val>
            <c:numRef>
              <c:f>AUX!$E$462</c:f>
              <c:numCache>
                <c:formatCode>0.0</c:formatCode>
                <c:ptCount val="1"/>
                <c:pt idx="0">
                  <c:v>24.824710426607759</c:v>
                </c:pt>
              </c:numCache>
            </c:numRef>
          </c:val>
        </c:ser>
        <c:ser>
          <c:idx val="3"/>
          <c:order val="3"/>
          <c:tx>
            <c:strRef>
              <c:f>AUX!$A$464</c:f>
              <c:strCache>
                <c:ptCount val="1"/>
                <c:pt idx="0">
                  <c:v>bar2</c:v>
                </c:pt>
              </c:strCache>
            </c:strRef>
          </c:tx>
          <c:spPr>
            <a:solidFill>
              <a:schemeClr val="accent3">
                <a:lumMod val="20000"/>
                <a:lumOff val="80000"/>
              </a:schemeClr>
            </a:solidFill>
            <a:ln>
              <a:solidFill>
                <a:schemeClr val="accent3">
                  <a:lumMod val="20000"/>
                  <a:lumOff val="80000"/>
                </a:schemeClr>
              </a:solidFill>
            </a:ln>
          </c:spPr>
          <c:cat>
            <c:strRef>
              <c:f>AUX!$E$434</c:f>
              <c:strCache>
                <c:ptCount val="1"/>
                <c:pt idx="0">
                  <c:v>ISF</c:v>
                </c:pt>
              </c:strCache>
            </c:strRef>
          </c:cat>
          <c:val>
            <c:numRef>
              <c:f>AUX!$E$464</c:f>
              <c:numCache>
                <c:formatCode>0.0</c:formatCode>
                <c:ptCount val="1"/>
                <c:pt idx="0">
                  <c:v>41.910718495173448</c:v>
                </c:pt>
              </c:numCache>
            </c:numRef>
          </c:val>
        </c:ser>
        <c:gapWidth val="0"/>
        <c:overlap val="100"/>
        <c:axId val="282978560"/>
        <c:axId val="282980736"/>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AUX!$E$456</c:f>
              <c:numCache>
                <c:formatCode>0.0</c:formatCode>
                <c:ptCount val="1"/>
                <c:pt idx="0">
                  <c:v>-153.25850511710325</c:v>
                </c:pt>
              </c:numCache>
            </c:numRef>
          </c:xVal>
          <c:yVal>
            <c:numRef>
              <c:f>AUX!$E$434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AUX!$E$458</c:f>
              <c:numCache>
                <c:formatCode>0.0</c:formatCode>
                <c:ptCount val="1"/>
                <c:pt idx="0">
                  <c:v>-153.25850511710325</c:v>
                </c:pt>
              </c:numCache>
            </c:numRef>
          </c:xVal>
          <c:yVal>
            <c:numRef>
              <c:f>AUX!$E$434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AUX!$E$457</c:f>
              <c:numCache>
                <c:formatCode>0.0</c:formatCode>
                <c:ptCount val="1"/>
                <c:pt idx="0">
                  <c:v>44.726590261431632</c:v>
                </c:pt>
              </c:numCache>
            </c:numRef>
          </c:xVal>
          <c:yVal>
            <c:numRef>
              <c:f>AUX!$E$434</c:f>
              <c:numCache>
                <c:formatCode>General</c:formatCode>
                <c:ptCount val="1"/>
                <c:pt idx="0">
                  <c:v>0</c:v>
                </c:pt>
              </c:numCache>
            </c:numRef>
          </c:yVal>
        </c:ser>
        <c:axId val="282983808"/>
        <c:axId val="282982272"/>
      </c:scatterChart>
      <c:catAx>
        <c:axId val="282978560"/>
        <c:scaling>
          <c:orientation val="minMax"/>
        </c:scaling>
        <c:delete val="1"/>
        <c:axPos val="l"/>
        <c:tickLblPos val="none"/>
        <c:crossAx val="282980736"/>
        <c:crosses val="autoZero"/>
        <c:auto val="1"/>
        <c:lblAlgn val="ctr"/>
        <c:lblOffset val="100"/>
      </c:catAx>
      <c:valAx>
        <c:axId val="282980736"/>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2978560"/>
        <c:crosses val="autoZero"/>
        <c:crossBetween val="between"/>
      </c:valAx>
      <c:valAx>
        <c:axId val="282982272"/>
        <c:scaling>
          <c:orientation val="minMax"/>
          <c:max val="0.5"/>
          <c:min val="-0.5"/>
        </c:scaling>
        <c:delete val="1"/>
        <c:axPos val="r"/>
        <c:numFmt formatCode="General" sourceLinked="1"/>
        <c:tickLblPos val="none"/>
        <c:crossAx val="282983808"/>
        <c:crosses val="max"/>
        <c:crossBetween val="midCat"/>
      </c:valAx>
      <c:valAx>
        <c:axId val="282983808"/>
        <c:scaling>
          <c:orientation val="minMax"/>
        </c:scaling>
        <c:delete val="1"/>
        <c:axPos val="b"/>
        <c:numFmt formatCode="0.0" sourceLinked="1"/>
        <c:tickLblPos val="none"/>
        <c:crossAx val="282982272"/>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8.8134920634920746E-2"/>
          <c:y val="4.6260498687663965E-2"/>
          <c:w val="0.89111344537815129"/>
          <c:h val="0.74588452380952375"/>
        </c:manualLayout>
      </c:layout>
      <c:lineChart>
        <c:grouping val="standard"/>
        <c:ser>
          <c:idx val="1"/>
          <c:order val="0"/>
          <c:tx>
            <c:strRef>
              <c:f>AUX!$A$51</c:f>
              <c:strCache>
                <c:ptCount val="1"/>
                <c:pt idx="0">
                  <c:v>Continente</c:v>
                </c:pt>
              </c:strCache>
            </c:strRef>
          </c:tx>
          <c:spPr>
            <a:ln w="19050">
              <a:solidFill>
                <a:srgbClr val="FF0000"/>
              </a:solidFill>
            </a:ln>
          </c:spPr>
          <c:marker>
            <c:symbol val="none"/>
          </c:marker>
          <c:cat>
            <c:numRef>
              <c:f>AUX!$B$50:$W$50</c:f>
              <c:numCache>
                <c:formatCode>General</c:formatCode>
                <c:ptCount val="2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numCache>
            </c:numRef>
          </c:cat>
          <c:val>
            <c:numRef>
              <c:f>AUX!$B$51:$W$51</c:f>
              <c:numCache>
                <c:formatCode>0.0</c:formatCode>
                <c:ptCount val="22"/>
                <c:pt idx="0">
                  <c:v>28.536817399626358</c:v>
                </c:pt>
                <c:pt idx="1">
                  <c:v>27.640010416919242</c:v>
                </c:pt>
                <c:pt idx="2">
                  <c:v>26.967640887492212</c:v>
                </c:pt>
                <c:pt idx="3">
                  <c:v>26.283184696165769</c:v>
                </c:pt>
                <c:pt idx="4">
                  <c:v>25.635041762761851</c:v>
                </c:pt>
                <c:pt idx="5">
                  <c:v>25.128952446632113</c:v>
                </c:pt>
                <c:pt idx="6">
                  <c:v>24.677512970461901</c:v>
                </c:pt>
                <c:pt idx="7">
                  <c:v>24.344458823769827</c:v>
                </c:pt>
                <c:pt idx="8">
                  <c:v>24.096354492361453</c:v>
                </c:pt>
                <c:pt idx="9">
                  <c:v>23.764988413887199</c:v>
                </c:pt>
                <c:pt idx="10">
                  <c:v>23.700558061275899</c:v>
                </c:pt>
                <c:pt idx="11">
                  <c:v>23.703865870197514</c:v>
                </c:pt>
                <c:pt idx="12">
                  <c:v>23.676990277986803</c:v>
                </c:pt>
                <c:pt idx="13">
                  <c:v>23.632804135511616</c:v>
                </c:pt>
                <c:pt idx="14">
                  <c:v>23.544357063862702</c:v>
                </c:pt>
                <c:pt idx="15">
                  <c:v>23.356119837933598</c:v>
                </c:pt>
                <c:pt idx="16">
                  <c:v>23.146136091416036</c:v>
                </c:pt>
                <c:pt idx="17">
                  <c:v>23.001501028815206</c:v>
                </c:pt>
                <c:pt idx="18">
                  <c:v>22.868282465069253</c:v>
                </c:pt>
                <c:pt idx="19">
                  <c:v>22.64146287627803</c:v>
                </c:pt>
                <c:pt idx="20">
                  <c:v>22.470303037639859</c:v>
                </c:pt>
                <c:pt idx="21">
                  <c:v>22.356048909791866</c:v>
                </c:pt>
              </c:numCache>
            </c:numRef>
          </c:val>
        </c:ser>
        <c:ser>
          <c:idx val="2"/>
          <c:order val="1"/>
          <c:tx>
            <c:strRef>
              <c:f>AUX!$A$52</c:f>
              <c:strCache>
                <c:ptCount val="1"/>
                <c:pt idx="0">
                  <c:v>0</c:v>
                </c:pt>
              </c:strCache>
            </c:strRef>
          </c:tx>
          <c:spPr>
            <a:ln w="19050">
              <a:solidFill>
                <a:schemeClr val="tx2"/>
              </a:solidFill>
            </a:ln>
          </c:spPr>
          <c:marker>
            <c:symbol val="none"/>
          </c:marker>
          <c:cat>
            <c:numRef>
              <c:f>AUX!$B$50:$W$50</c:f>
              <c:numCache>
                <c:formatCode>General</c:formatCode>
                <c:ptCount val="2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numCache>
            </c:numRef>
          </c:cat>
          <c:val>
            <c:numRef>
              <c:f>AUX!$B$52:$W$52</c:f>
              <c:numCache>
                <c:formatCode>0.0</c:formatCode>
                <c:ptCount val="22"/>
              </c:numCache>
            </c:numRef>
          </c:val>
        </c:ser>
        <c:ser>
          <c:idx val="3"/>
          <c:order val="2"/>
          <c:tx>
            <c:strRef>
              <c:f>AUX!$A$53</c:f>
              <c:strCache>
                <c:ptCount val="1"/>
                <c:pt idx="0">
                  <c:v>0</c:v>
                </c:pt>
              </c:strCache>
            </c:strRef>
          </c:tx>
          <c:spPr>
            <a:ln w="38100">
              <a:solidFill>
                <a:srgbClr val="008080"/>
              </a:solidFill>
            </a:ln>
          </c:spPr>
          <c:marker>
            <c:symbol val="none"/>
          </c:marker>
          <c:cat>
            <c:numRef>
              <c:f>AUX!$B$50:$W$50</c:f>
              <c:numCache>
                <c:formatCode>General</c:formatCode>
                <c:ptCount val="2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numCache>
            </c:numRef>
          </c:cat>
          <c:val>
            <c:numRef>
              <c:f>AUX!$B$53:$W$53</c:f>
              <c:numCache>
                <c:formatCode>0.0</c:formatCode>
                <c:ptCount val="22"/>
              </c:numCache>
            </c:numRef>
          </c:val>
        </c:ser>
        <c:marker val="1"/>
        <c:axId val="280229376"/>
        <c:axId val="280230912"/>
      </c:lineChart>
      <c:catAx>
        <c:axId val="280229376"/>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80230912"/>
        <c:crosses val="autoZero"/>
        <c:auto val="1"/>
        <c:lblAlgn val="ctr"/>
        <c:lblOffset val="100"/>
        <c:tickLblSkip val="2"/>
        <c:tickMarkSkip val="1"/>
      </c:catAx>
      <c:valAx>
        <c:axId val="280230912"/>
        <c:scaling>
          <c:orientation val="minMax"/>
        </c:scaling>
        <c:axPos val="l"/>
        <c:majorGridlines>
          <c:spPr>
            <a:ln w="3175">
              <a:solidFill>
                <a:schemeClr val="bg1">
                  <a:lumMod val="95000"/>
                </a:schemeClr>
              </a:solidFill>
            </a:ln>
          </c:spPr>
        </c:majorGridlines>
        <c:numFmt formatCode="0" sourceLinked="0"/>
        <c:tickLblPos val="nextTo"/>
        <c:txPr>
          <a:bodyPr/>
          <a:lstStyle/>
          <a:p>
            <a:pPr>
              <a:defRPr lang="en-US" sz="900">
                <a:latin typeface="Arial" pitchFamily="34" charset="0"/>
                <a:cs typeface="Arial" pitchFamily="34" charset="0"/>
              </a:defRPr>
            </a:pPr>
            <a:endParaRPr lang="pt-PT"/>
          </a:p>
        </c:txPr>
        <c:crossAx val="280229376"/>
        <c:crosses val="autoZero"/>
        <c:crossBetween val="between"/>
      </c:valAx>
    </c:plotArea>
    <c:legend>
      <c:legendPos val="b"/>
      <c:layout>
        <c:manualLayout>
          <c:xMode val="edge"/>
          <c:yMode val="edge"/>
          <c:x val="1.4246498599439775E-2"/>
          <c:y val="0.92349344506743858"/>
          <c:w val="0.97150676937441638"/>
          <c:h val="5.9385594042128037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3">
                <a:lumMod val="20000"/>
                <a:lumOff val="80000"/>
              </a:schemeClr>
            </a:solidFill>
            <a:ln>
              <a:solidFill>
                <a:schemeClr val="accent3">
                  <a:lumMod val="20000"/>
                  <a:lumOff val="80000"/>
                </a:schemeClr>
              </a:solidFill>
            </a:ln>
          </c:spPr>
          <c:cat>
            <c:strRef>
              <c:f>AUX!$F$434</c:f>
              <c:strCache>
                <c:ptCount val="1"/>
                <c:pt idx="0">
                  <c:v>EV - Homens</c:v>
                </c:pt>
              </c:strCache>
            </c:strRef>
          </c:cat>
          <c:val>
            <c:numRef>
              <c:f>AUX!$F$460</c:f>
              <c:numCache>
                <c:formatCode>0.0</c:formatCode>
                <c:ptCount val="1"/>
                <c:pt idx="0">
                  <c:v>41.536301636551357</c:v>
                </c:pt>
              </c:numCache>
            </c:numRef>
          </c:val>
        </c:ser>
        <c:ser>
          <c:idx val="1"/>
          <c:order val="1"/>
          <c:tx>
            <c:strRef>
              <c:f>AUX!$A$461</c:f>
              <c:strCache>
                <c:ptCount val="1"/>
                <c:pt idx="0">
                  <c:v>2Q Box</c:v>
                </c:pt>
              </c:strCache>
            </c:strRef>
          </c:tx>
          <c:spPr>
            <a:solidFill>
              <a:schemeClr val="accent3">
                <a:lumMod val="60000"/>
                <a:lumOff val="40000"/>
              </a:schemeClr>
            </a:solidFill>
            <a:ln>
              <a:solidFill>
                <a:schemeClr val="accent3">
                  <a:lumMod val="20000"/>
                  <a:lumOff val="80000"/>
                </a:schemeClr>
              </a:solidFill>
            </a:ln>
          </c:spPr>
          <c:cat>
            <c:strRef>
              <c:f>AUX!$F$434</c:f>
              <c:strCache>
                <c:ptCount val="1"/>
                <c:pt idx="0">
                  <c:v>EV - Homens</c:v>
                </c:pt>
              </c:strCache>
            </c:strRef>
          </c:cat>
          <c:val>
            <c:numRef>
              <c:f>AUX!$F$461</c:f>
              <c:numCache>
                <c:formatCode>0.0</c:formatCode>
                <c:ptCount val="1"/>
                <c:pt idx="0">
                  <c:v>8.256639333987188</c:v>
                </c:pt>
              </c:numCache>
            </c:numRef>
          </c:val>
        </c:ser>
        <c:ser>
          <c:idx val="2"/>
          <c:order val="2"/>
          <c:tx>
            <c:strRef>
              <c:f>AUX!$A$462</c:f>
              <c:strCache>
                <c:ptCount val="1"/>
                <c:pt idx="0">
                  <c:v>3Q Box</c:v>
                </c:pt>
              </c:strCache>
            </c:strRef>
          </c:tx>
          <c:spPr>
            <a:solidFill>
              <a:schemeClr val="accent3">
                <a:lumMod val="60000"/>
                <a:lumOff val="40000"/>
              </a:schemeClr>
            </a:solidFill>
            <a:ln>
              <a:solidFill>
                <a:schemeClr val="accent3">
                  <a:lumMod val="20000"/>
                  <a:lumOff val="80000"/>
                </a:schemeClr>
              </a:solidFill>
            </a:ln>
          </c:spPr>
          <c:cat>
            <c:strRef>
              <c:f>AUX!$F$434</c:f>
              <c:strCache>
                <c:ptCount val="1"/>
                <c:pt idx="0">
                  <c:v>EV - Homens</c:v>
                </c:pt>
              </c:strCache>
            </c:strRef>
          </c:cat>
          <c:val>
            <c:numRef>
              <c:f>AUX!$F$462</c:f>
              <c:numCache>
                <c:formatCode>0.0</c:formatCode>
                <c:ptCount val="1"/>
                <c:pt idx="0">
                  <c:v>12.586016339684747</c:v>
                </c:pt>
              </c:numCache>
            </c:numRef>
          </c:val>
        </c:ser>
        <c:ser>
          <c:idx val="3"/>
          <c:order val="3"/>
          <c:tx>
            <c:strRef>
              <c:f>AUX!$A$464</c:f>
              <c:strCache>
                <c:ptCount val="1"/>
                <c:pt idx="0">
                  <c:v>bar2</c:v>
                </c:pt>
              </c:strCache>
            </c:strRef>
          </c:tx>
          <c:spPr>
            <a:solidFill>
              <a:schemeClr val="accent3">
                <a:lumMod val="20000"/>
                <a:lumOff val="80000"/>
              </a:schemeClr>
            </a:solidFill>
            <a:ln>
              <a:solidFill>
                <a:schemeClr val="accent3">
                  <a:lumMod val="20000"/>
                  <a:lumOff val="80000"/>
                </a:schemeClr>
              </a:solidFill>
            </a:ln>
          </c:spPr>
          <c:cat>
            <c:strRef>
              <c:f>AUX!$F$434</c:f>
              <c:strCache>
                <c:ptCount val="1"/>
                <c:pt idx="0">
                  <c:v>EV - Homens</c:v>
                </c:pt>
              </c:strCache>
            </c:strRef>
          </c:cat>
          <c:val>
            <c:numRef>
              <c:f>AUX!$F$464</c:f>
              <c:numCache>
                <c:formatCode>0.0</c:formatCode>
                <c:ptCount val="1"/>
                <c:pt idx="0">
                  <c:v>37.621042689776708</c:v>
                </c:pt>
              </c:numCache>
            </c:numRef>
          </c:val>
        </c:ser>
        <c:gapWidth val="0"/>
        <c:overlap val="100"/>
        <c:axId val="283041792"/>
        <c:axId val="283043712"/>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AUX!$F$456</c:f>
              <c:numCache>
                <c:formatCode>0.0</c:formatCode>
                <c:ptCount val="1"/>
                <c:pt idx="0">
                  <c:v>-1810.9212661223551</c:v>
                </c:pt>
              </c:numCache>
            </c:numRef>
          </c:xVal>
          <c:yVal>
            <c:numRef>
              <c:f>AUX!$F$434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AUX!$F$458</c:f>
              <c:numCache>
                <c:formatCode>0.0</c:formatCode>
                <c:ptCount val="1"/>
                <c:pt idx="0">
                  <c:v>-1810.9212661223551</c:v>
                </c:pt>
              </c:numCache>
            </c:numRef>
          </c:xVal>
          <c:yVal>
            <c:numRef>
              <c:f>AUX!$F$434</c:f>
              <c:numCache>
                <c:formatCode>General</c:formatCode>
                <c:ptCount val="1"/>
                <c:pt idx="0">
                  <c:v>0</c:v>
                </c:pt>
              </c:numCache>
            </c:numRef>
          </c:yVal>
        </c:ser>
        <c:ser>
          <c:idx val="6"/>
          <c:order val="6"/>
          <c:tx>
            <c:strRef>
              <c:f>AUX!$A$457</c:f>
              <c:strCache>
                <c:ptCount val="1"/>
                <c:pt idx="0">
                  <c:v>Continente</c:v>
                </c:pt>
              </c:strCache>
            </c:strRef>
          </c:tx>
          <c:spPr>
            <a:ln>
              <a:solidFill>
                <a:srgbClr val="FF0000"/>
              </a:solidFill>
            </a:ln>
          </c:spPr>
          <c:marker>
            <c:symbol val="diamond"/>
            <c:size val="4"/>
            <c:spPr>
              <a:solidFill>
                <a:srgbClr val="FF0000"/>
              </a:solidFill>
              <a:ln>
                <a:solidFill>
                  <a:srgbClr val="FF0000"/>
                </a:solidFill>
              </a:ln>
            </c:spPr>
          </c:marker>
          <c:xVal>
            <c:numRef>
              <c:f>AUX!$F$457</c:f>
              <c:numCache>
                <c:formatCode>0.0</c:formatCode>
                <c:ptCount val="1"/>
                <c:pt idx="0">
                  <c:v>54.396344698329045</c:v>
                </c:pt>
              </c:numCache>
            </c:numRef>
          </c:xVal>
          <c:yVal>
            <c:numRef>
              <c:f>AUX!$F$434</c:f>
              <c:numCache>
                <c:formatCode>General</c:formatCode>
                <c:ptCount val="1"/>
                <c:pt idx="0">
                  <c:v>0</c:v>
                </c:pt>
              </c:numCache>
            </c:numRef>
          </c:yVal>
        </c:ser>
        <c:axId val="283055232"/>
        <c:axId val="283045248"/>
      </c:scatterChart>
      <c:catAx>
        <c:axId val="283041792"/>
        <c:scaling>
          <c:orientation val="minMax"/>
        </c:scaling>
        <c:delete val="1"/>
        <c:axPos val="l"/>
        <c:tickLblPos val="none"/>
        <c:crossAx val="283043712"/>
        <c:crosses val="autoZero"/>
        <c:auto val="1"/>
        <c:lblAlgn val="ctr"/>
        <c:lblOffset val="100"/>
      </c:catAx>
      <c:valAx>
        <c:axId val="283043712"/>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3041792"/>
        <c:crosses val="autoZero"/>
        <c:crossBetween val="between"/>
      </c:valAx>
      <c:valAx>
        <c:axId val="283045248"/>
        <c:scaling>
          <c:orientation val="minMax"/>
          <c:max val="0.5"/>
          <c:min val="-0.5"/>
        </c:scaling>
        <c:delete val="1"/>
        <c:axPos val="r"/>
        <c:numFmt formatCode="General" sourceLinked="1"/>
        <c:tickLblPos val="none"/>
        <c:crossAx val="283055232"/>
        <c:crosses val="max"/>
        <c:crossBetween val="midCat"/>
      </c:valAx>
      <c:valAx>
        <c:axId val="283055232"/>
        <c:scaling>
          <c:orientation val="minMax"/>
        </c:scaling>
        <c:delete val="1"/>
        <c:axPos val="b"/>
        <c:numFmt formatCode="0.0" sourceLinked="1"/>
        <c:tickLblPos val="none"/>
        <c:crossAx val="283045248"/>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3">
                <a:lumMod val="20000"/>
                <a:lumOff val="80000"/>
              </a:schemeClr>
            </a:solidFill>
            <a:ln>
              <a:solidFill>
                <a:schemeClr val="accent3">
                  <a:lumMod val="20000"/>
                  <a:lumOff val="80000"/>
                </a:schemeClr>
              </a:solidFill>
            </a:ln>
          </c:spPr>
          <c:cat>
            <c:strRef>
              <c:f>AUX!$G$434</c:f>
              <c:strCache>
                <c:ptCount val="1"/>
                <c:pt idx="0">
                  <c:v>EV - Mulheres</c:v>
                </c:pt>
              </c:strCache>
            </c:strRef>
          </c:cat>
          <c:val>
            <c:numRef>
              <c:f>AUX!$G$460</c:f>
              <c:numCache>
                <c:formatCode>0.0</c:formatCode>
                <c:ptCount val="1"/>
                <c:pt idx="0">
                  <c:v>43.649226824127098</c:v>
                </c:pt>
              </c:numCache>
            </c:numRef>
          </c:val>
        </c:ser>
        <c:ser>
          <c:idx val="1"/>
          <c:order val="1"/>
          <c:tx>
            <c:strRef>
              <c:f>AUX!$A$461</c:f>
              <c:strCache>
                <c:ptCount val="1"/>
                <c:pt idx="0">
                  <c:v>2Q Box</c:v>
                </c:pt>
              </c:strCache>
            </c:strRef>
          </c:tx>
          <c:spPr>
            <a:solidFill>
              <a:schemeClr val="accent3">
                <a:lumMod val="60000"/>
                <a:lumOff val="40000"/>
              </a:schemeClr>
            </a:solidFill>
            <a:ln>
              <a:solidFill>
                <a:schemeClr val="accent3">
                  <a:lumMod val="20000"/>
                  <a:lumOff val="80000"/>
                </a:schemeClr>
              </a:solidFill>
            </a:ln>
          </c:spPr>
          <c:cat>
            <c:strRef>
              <c:f>AUX!$G$434</c:f>
              <c:strCache>
                <c:ptCount val="1"/>
                <c:pt idx="0">
                  <c:v>EV - Mulheres</c:v>
                </c:pt>
              </c:strCache>
            </c:strRef>
          </c:cat>
          <c:val>
            <c:numRef>
              <c:f>AUX!$G$461</c:f>
              <c:numCache>
                <c:formatCode>0.0</c:formatCode>
                <c:ptCount val="1"/>
                <c:pt idx="0">
                  <c:v>12.895688460441654</c:v>
                </c:pt>
              </c:numCache>
            </c:numRef>
          </c:val>
        </c:ser>
        <c:ser>
          <c:idx val="2"/>
          <c:order val="2"/>
          <c:tx>
            <c:strRef>
              <c:f>AUX!$A$462</c:f>
              <c:strCache>
                <c:ptCount val="1"/>
                <c:pt idx="0">
                  <c:v>3Q Box</c:v>
                </c:pt>
              </c:strCache>
            </c:strRef>
          </c:tx>
          <c:spPr>
            <a:solidFill>
              <a:schemeClr val="accent3">
                <a:lumMod val="60000"/>
                <a:lumOff val="40000"/>
              </a:schemeClr>
            </a:solidFill>
            <a:ln>
              <a:solidFill>
                <a:schemeClr val="accent3">
                  <a:lumMod val="20000"/>
                  <a:lumOff val="80000"/>
                </a:schemeClr>
              </a:solidFill>
            </a:ln>
          </c:spPr>
          <c:cat>
            <c:strRef>
              <c:f>AUX!$G$434</c:f>
              <c:strCache>
                <c:ptCount val="1"/>
                <c:pt idx="0">
                  <c:v>EV - Mulheres</c:v>
                </c:pt>
              </c:strCache>
            </c:strRef>
          </c:cat>
          <c:val>
            <c:numRef>
              <c:f>AUX!$G$462</c:f>
              <c:numCache>
                <c:formatCode>0.0</c:formatCode>
                <c:ptCount val="1"/>
                <c:pt idx="0">
                  <c:v>11.044506983418636</c:v>
                </c:pt>
              </c:numCache>
            </c:numRef>
          </c:val>
        </c:ser>
        <c:ser>
          <c:idx val="3"/>
          <c:order val="3"/>
          <c:tx>
            <c:strRef>
              <c:f>AUX!$A$464</c:f>
              <c:strCache>
                <c:ptCount val="1"/>
                <c:pt idx="0">
                  <c:v>bar2</c:v>
                </c:pt>
              </c:strCache>
            </c:strRef>
          </c:tx>
          <c:spPr>
            <a:solidFill>
              <a:schemeClr val="accent3">
                <a:lumMod val="20000"/>
                <a:lumOff val="80000"/>
              </a:schemeClr>
            </a:solidFill>
            <a:ln>
              <a:solidFill>
                <a:schemeClr val="accent3">
                  <a:lumMod val="20000"/>
                  <a:lumOff val="80000"/>
                </a:schemeClr>
              </a:solidFill>
            </a:ln>
          </c:spPr>
          <c:cat>
            <c:strRef>
              <c:f>AUX!$G$434</c:f>
              <c:strCache>
                <c:ptCount val="1"/>
                <c:pt idx="0">
                  <c:v>EV - Mulheres</c:v>
                </c:pt>
              </c:strCache>
            </c:strRef>
          </c:cat>
          <c:val>
            <c:numRef>
              <c:f>AUX!$G$464</c:f>
              <c:numCache>
                <c:formatCode>0.0</c:formatCode>
                <c:ptCount val="1"/>
                <c:pt idx="0">
                  <c:v>32.410577732012612</c:v>
                </c:pt>
              </c:numCache>
            </c:numRef>
          </c:val>
        </c:ser>
        <c:gapWidth val="0"/>
        <c:overlap val="100"/>
        <c:axId val="283104768"/>
        <c:axId val="283106688"/>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AUX!$G$456</c:f>
              <c:numCache>
                <c:formatCode>0.0</c:formatCode>
                <c:ptCount val="1"/>
                <c:pt idx="0">
                  <c:v>-1995.6877435973265</c:v>
                </c:pt>
              </c:numCache>
            </c:numRef>
          </c:xVal>
          <c:yVal>
            <c:numRef>
              <c:f>AUX!$G$434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AUX!$G$458</c:f>
              <c:numCache>
                <c:formatCode>0.0</c:formatCode>
                <c:ptCount val="1"/>
                <c:pt idx="0">
                  <c:v>-1995.6877435973265</c:v>
                </c:pt>
              </c:numCache>
            </c:numRef>
          </c:xVal>
          <c:yVal>
            <c:numRef>
              <c:f>AUX!$G$434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AUX!$G$457</c:f>
              <c:numCache>
                <c:formatCode>0.0</c:formatCode>
                <c:ptCount val="1"/>
                <c:pt idx="0">
                  <c:v>56.614423016775362</c:v>
                </c:pt>
              </c:numCache>
            </c:numRef>
          </c:xVal>
          <c:yVal>
            <c:numRef>
              <c:f>AUX!$G$434</c:f>
              <c:numCache>
                <c:formatCode>General</c:formatCode>
                <c:ptCount val="1"/>
                <c:pt idx="0">
                  <c:v>0</c:v>
                </c:pt>
              </c:numCache>
            </c:numRef>
          </c:yVal>
        </c:ser>
        <c:axId val="283122304"/>
        <c:axId val="283120768"/>
      </c:scatterChart>
      <c:catAx>
        <c:axId val="283104768"/>
        <c:scaling>
          <c:orientation val="minMax"/>
        </c:scaling>
        <c:delete val="1"/>
        <c:axPos val="l"/>
        <c:tickLblPos val="none"/>
        <c:crossAx val="283106688"/>
        <c:crosses val="autoZero"/>
        <c:auto val="1"/>
        <c:lblAlgn val="ctr"/>
        <c:lblOffset val="100"/>
      </c:catAx>
      <c:valAx>
        <c:axId val="283106688"/>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3104768"/>
        <c:crosses val="autoZero"/>
        <c:crossBetween val="between"/>
      </c:valAx>
      <c:valAx>
        <c:axId val="283120768"/>
        <c:scaling>
          <c:orientation val="minMax"/>
          <c:max val="0.5"/>
          <c:min val="-0.5"/>
        </c:scaling>
        <c:delete val="1"/>
        <c:axPos val="r"/>
        <c:numFmt formatCode="General" sourceLinked="1"/>
        <c:tickLblPos val="none"/>
        <c:crossAx val="283122304"/>
        <c:crosses val="max"/>
        <c:crossBetween val="midCat"/>
      </c:valAx>
      <c:valAx>
        <c:axId val="283122304"/>
        <c:scaling>
          <c:orientation val="minMax"/>
        </c:scaling>
        <c:delete val="1"/>
        <c:axPos val="b"/>
        <c:numFmt formatCode="0.0" sourceLinked="1"/>
        <c:tickLblPos val="none"/>
        <c:crossAx val="283120768"/>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6">
                <a:lumMod val="20000"/>
                <a:lumOff val="80000"/>
              </a:schemeClr>
            </a:solidFill>
            <a:ln>
              <a:solidFill>
                <a:schemeClr val="accent6">
                  <a:lumMod val="20000"/>
                  <a:lumOff val="80000"/>
                </a:schemeClr>
              </a:solidFill>
            </a:ln>
          </c:spPr>
          <c:cat>
            <c:strRef>
              <c:f>AUX!$J$434</c:f>
              <c:strCache>
                <c:ptCount val="1"/>
                <c:pt idx="0">
                  <c:v>Desempregados (H)</c:v>
                </c:pt>
              </c:strCache>
            </c:strRef>
          </c:cat>
          <c:val>
            <c:numRef>
              <c:f>AUX!$J$460</c:f>
              <c:numCache>
                <c:formatCode>0.0</c:formatCode>
                <c:ptCount val="1"/>
                <c:pt idx="0">
                  <c:v>46.165050866776859</c:v>
                </c:pt>
              </c:numCache>
            </c:numRef>
          </c:val>
        </c:ser>
        <c:ser>
          <c:idx val="1"/>
          <c:order val="1"/>
          <c:tx>
            <c:strRef>
              <c:f>AUX!$A$461</c:f>
              <c:strCache>
                <c:ptCount val="1"/>
                <c:pt idx="0">
                  <c:v>2Q Box</c:v>
                </c:pt>
              </c:strCache>
            </c:strRef>
          </c:tx>
          <c:spPr>
            <a:solidFill>
              <a:schemeClr val="accent6">
                <a:lumMod val="60000"/>
                <a:lumOff val="40000"/>
              </a:schemeClr>
            </a:solidFill>
            <a:ln>
              <a:solidFill>
                <a:schemeClr val="accent6">
                  <a:lumMod val="20000"/>
                  <a:lumOff val="80000"/>
                </a:schemeClr>
              </a:solidFill>
            </a:ln>
          </c:spPr>
          <c:cat>
            <c:strRef>
              <c:f>AUX!$J$434</c:f>
              <c:strCache>
                <c:ptCount val="1"/>
                <c:pt idx="0">
                  <c:v>Desempregados (H)</c:v>
                </c:pt>
              </c:strCache>
            </c:strRef>
          </c:cat>
          <c:val>
            <c:numRef>
              <c:f>AUX!$J$461</c:f>
              <c:numCache>
                <c:formatCode>0.0</c:formatCode>
                <c:ptCount val="1"/>
                <c:pt idx="0">
                  <c:v>23.873319887895001</c:v>
                </c:pt>
              </c:numCache>
            </c:numRef>
          </c:val>
        </c:ser>
        <c:ser>
          <c:idx val="2"/>
          <c:order val="2"/>
          <c:tx>
            <c:strRef>
              <c:f>AUX!$A$462</c:f>
              <c:strCache>
                <c:ptCount val="1"/>
                <c:pt idx="0">
                  <c:v>3Q Box</c:v>
                </c:pt>
              </c:strCache>
            </c:strRef>
          </c:tx>
          <c:spPr>
            <a:solidFill>
              <a:schemeClr val="accent6">
                <a:lumMod val="60000"/>
                <a:lumOff val="40000"/>
              </a:schemeClr>
            </a:solidFill>
            <a:ln>
              <a:solidFill>
                <a:schemeClr val="accent6">
                  <a:lumMod val="20000"/>
                  <a:lumOff val="80000"/>
                </a:schemeClr>
              </a:solidFill>
            </a:ln>
          </c:spPr>
          <c:cat>
            <c:strRef>
              <c:f>AUX!$J$434</c:f>
              <c:strCache>
                <c:ptCount val="1"/>
                <c:pt idx="0">
                  <c:v>Desempregados (H)</c:v>
                </c:pt>
              </c:strCache>
            </c:strRef>
          </c:cat>
          <c:val>
            <c:numRef>
              <c:f>AUX!$J$462</c:f>
              <c:numCache>
                <c:formatCode>0.0</c:formatCode>
                <c:ptCount val="1"/>
                <c:pt idx="0">
                  <c:v>7.4153386228769733</c:v>
                </c:pt>
              </c:numCache>
            </c:numRef>
          </c:val>
        </c:ser>
        <c:ser>
          <c:idx val="3"/>
          <c:order val="3"/>
          <c:tx>
            <c:strRef>
              <c:f>AUX!$A$464</c:f>
              <c:strCache>
                <c:ptCount val="1"/>
                <c:pt idx="0">
                  <c:v>bar2</c:v>
                </c:pt>
              </c:strCache>
            </c:strRef>
          </c:tx>
          <c:spPr>
            <a:solidFill>
              <a:schemeClr val="accent6">
                <a:lumMod val="20000"/>
                <a:lumOff val="80000"/>
              </a:schemeClr>
            </a:solidFill>
            <a:ln>
              <a:solidFill>
                <a:schemeClr val="accent6">
                  <a:lumMod val="20000"/>
                  <a:lumOff val="80000"/>
                </a:schemeClr>
              </a:solidFill>
            </a:ln>
          </c:spPr>
          <c:cat>
            <c:strRef>
              <c:f>AUX!$J$434</c:f>
              <c:strCache>
                <c:ptCount val="1"/>
                <c:pt idx="0">
                  <c:v>Desempregados (H)</c:v>
                </c:pt>
              </c:strCache>
            </c:strRef>
          </c:cat>
          <c:val>
            <c:numRef>
              <c:f>AUX!$J$464</c:f>
              <c:numCache>
                <c:formatCode>0.0</c:formatCode>
                <c:ptCount val="1"/>
                <c:pt idx="0">
                  <c:v>22.546290622451167</c:v>
                </c:pt>
              </c:numCache>
            </c:numRef>
          </c:val>
        </c:ser>
        <c:gapWidth val="0"/>
        <c:overlap val="100"/>
        <c:axId val="283155456"/>
        <c:axId val="283178112"/>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AUX!$J$456</c:f>
              <c:numCache>
                <c:formatCode>0.0</c:formatCode>
                <c:ptCount val="1"/>
                <c:pt idx="0">
                  <c:v>154.93872052699345</c:v>
                </c:pt>
              </c:numCache>
            </c:numRef>
          </c:xVal>
          <c:yVal>
            <c:numRef>
              <c:f>AUX!$J$434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AUX!$J$458</c:f>
              <c:numCache>
                <c:formatCode>0.0</c:formatCode>
                <c:ptCount val="1"/>
                <c:pt idx="0">
                  <c:v>154.93872052699345</c:v>
                </c:pt>
              </c:numCache>
            </c:numRef>
          </c:xVal>
          <c:yVal>
            <c:numRef>
              <c:f>AUX!$J$434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AUX!$J$457</c:f>
              <c:numCache>
                <c:formatCode>0.0</c:formatCode>
                <c:ptCount val="1"/>
                <c:pt idx="0">
                  <c:v>61.177078108996433</c:v>
                </c:pt>
              </c:numCache>
            </c:numRef>
          </c:xVal>
          <c:yVal>
            <c:numRef>
              <c:f>AUX!$J$434</c:f>
              <c:numCache>
                <c:formatCode>General</c:formatCode>
                <c:ptCount val="1"/>
                <c:pt idx="0">
                  <c:v>0</c:v>
                </c:pt>
              </c:numCache>
            </c:numRef>
          </c:yVal>
        </c:ser>
        <c:axId val="283181440"/>
        <c:axId val="283179648"/>
      </c:scatterChart>
      <c:catAx>
        <c:axId val="283155456"/>
        <c:scaling>
          <c:orientation val="minMax"/>
        </c:scaling>
        <c:delete val="1"/>
        <c:axPos val="l"/>
        <c:numFmt formatCode="General" sourceLinked="1"/>
        <c:tickLblPos val="none"/>
        <c:crossAx val="283178112"/>
        <c:crosses val="autoZero"/>
        <c:auto val="1"/>
        <c:lblAlgn val="ctr"/>
        <c:lblOffset val="100"/>
      </c:catAx>
      <c:valAx>
        <c:axId val="283178112"/>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3155456"/>
        <c:crosses val="autoZero"/>
        <c:crossBetween val="between"/>
      </c:valAx>
      <c:valAx>
        <c:axId val="283179648"/>
        <c:scaling>
          <c:orientation val="minMax"/>
          <c:max val="0.5"/>
          <c:min val="-0.5"/>
        </c:scaling>
        <c:delete val="1"/>
        <c:axPos val="r"/>
        <c:numFmt formatCode="General" sourceLinked="1"/>
        <c:tickLblPos val="none"/>
        <c:crossAx val="283181440"/>
        <c:crosses val="max"/>
        <c:crossBetween val="midCat"/>
      </c:valAx>
      <c:valAx>
        <c:axId val="283181440"/>
        <c:scaling>
          <c:orientation val="minMax"/>
        </c:scaling>
        <c:delete val="1"/>
        <c:axPos val="b"/>
        <c:numFmt formatCode="0.0" sourceLinked="1"/>
        <c:tickLblPos val="none"/>
        <c:crossAx val="283179648"/>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6">
                <a:lumMod val="20000"/>
                <a:lumOff val="80000"/>
              </a:schemeClr>
            </a:solidFill>
            <a:ln>
              <a:solidFill>
                <a:schemeClr val="accent6">
                  <a:lumMod val="20000"/>
                  <a:lumOff val="80000"/>
                </a:schemeClr>
              </a:solidFill>
            </a:ln>
          </c:spPr>
          <c:cat>
            <c:strRef>
              <c:f>AUX!$K$434</c:f>
              <c:strCache>
                <c:ptCount val="1"/>
                <c:pt idx="0">
                  <c:v>Desempregados (M)</c:v>
                </c:pt>
              </c:strCache>
            </c:strRef>
          </c:cat>
          <c:val>
            <c:numRef>
              <c:f>AUX!$K$460</c:f>
              <c:numCache>
                <c:formatCode>0.0</c:formatCode>
                <c:ptCount val="1"/>
                <c:pt idx="0">
                  <c:v>55.814566209339844</c:v>
                </c:pt>
              </c:numCache>
            </c:numRef>
          </c:val>
        </c:ser>
        <c:ser>
          <c:idx val="1"/>
          <c:order val="1"/>
          <c:tx>
            <c:strRef>
              <c:f>AUX!$A$461</c:f>
              <c:strCache>
                <c:ptCount val="1"/>
                <c:pt idx="0">
                  <c:v>2Q Box</c:v>
                </c:pt>
              </c:strCache>
            </c:strRef>
          </c:tx>
          <c:spPr>
            <a:solidFill>
              <a:schemeClr val="accent6">
                <a:lumMod val="60000"/>
                <a:lumOff val="40000"/>
              </a:schemeClr>
            </a:solidFill>
            <a:ln>
              <a:solidFill>
                <a:schemeClr val="accent6">
                  <a:lumMod val="20000"/>
                  <a:lumOff val="80000"/>
                </a:schemeClr>
              </a:solidFill>
            </a:ln>
          </c:spPr>
          <c:cat>
            <c:strRef>
              <c:f>AUX!$K$434</c:f>
              <c:strCache>
                <c:ptCount val="1"/>
                <c:pt idx="0">
                  <c:v>Desempregados (M)</c:v>
                </c:pt>
              </c:strCache>
            </c:strRef>
          </c:cat>
          <c:val>
            <c:numRef>
              <c:f>AUX!$K$461</c:f>
              <c:numCache>
                <c:formatCode>0.0</c:formatCode>
                <c:ptCount val="1"/>
                <c:pt idx="0">
                  <c:v>21.029309400383411</c:v>
                </c:pt>
              </c:numCache>
            </c:numRef>
          </c:val>
        </c:ser>
        <c:ser>
          <c:idx val="2"/>
          <c:order val="2"/>
          <c:tx>
            <c:strRef>
              <c:f>AUX!$A$462</c:f>
              <c:strCache>
                <c:ptCount val="1"/>
                <c:pt idx="0">
                  <c:v>3Q Box</c:v>
                </c:pt>
              </c:strCache>
            </c:strRef>
          </c:tx>
          <c:spPr>
            <a:solidFill>
              <a:schemeClr val="accent6">
                <a:lumMod val="60000"/>
                <a:lumOff val="40000"/>
              </a:schemeClr>
            </a:solidFill>
            <a:ln>
              <a:solidFill>
                <a:schemeClr val="accent6">
                  <a:lumMod val="20000"/>
                  <a:lumOff val="80000"/>
                </a:schemeClr>
              </a:solidFill>
            </a:ln>
          </c:spPr>
          <c:cat>
            <c:strRef>
              <c:f>AUX!$K$434</c:f>
              <c:strCache>
                <c:ptCount val="1"/>
                <c:pt idx="0">
                  <c:v>Desempregados (M)</c:v>
                </c:pt>
              </c:strCache>
            </c:strRef>
          </c:cat>
          <c:val>
            <c:numRef>
              <c:f>AUX!$K$462</c:f>
              <c:numCache>
                <c:formatCode>0.0</c:formatCode>
                <c:ptCount val="1"/>
                <c:pt idx="0">
                  <c:v>7.9413357804790792</c:v>
                </c:pt>
              </c:numCache>
            </c:numRef>
          </c:val>
        </c:ser>
        <c:ser>
          <c:idx val="3"/>
          <c:order val="3"/>
          <c:tx>
            <c:strRef>
              <c:f>AUX!$A$464</c:f>
              <c:strCache>
                <c:ptCount val="1"/>
                <c:pt idx="0">
                  <c:v>bar2</c:v>
                </c:pt>
              </c:strCache>
            </c:strRef>
          </c:tx>
          <c:spPr>
            <a:solidFill>
              <a:schemeClr val="accent6">
                <a:lumMod val="20000"/>
                <a:lumOff val="80000"/>
              </a:schemeClr>
            </a:solidFill>
            <a:ln>
              <a:solidFill>
                <a:schemeClr val="accent6">
                  <a:lumMod val="20000"/>
                  <a:lumOff val="80000"/>
                </a:schemeClr>
              </a:solidFill>
            </a:ln>
          </c:spPr>
          <c:cat>
            <c:strRef>
              <c:f>AUX!$K$434</c:f>
              <c:strCache>
                <c:ptCount val="1"/>
                <c:pt idx="0">
                  <c:v>Desempregados (M)</c:v>
                </c:pt>
              </c:strCache>
            </c:strRef>
          </c:cat>
          <c:val>
            <c:numRef>
              <c:f>AUX!$K$464</c:f>
              <c:numCache>
                <c:formatCode>0.0</c:formatCode>
                <c:ptCount val="1"/>
                <c:pt idx="0">
                  <c:v>15.214788609797665</c:v>
                </c:pt>
              </c:numCache>
            </c:numRef>
          </c:val>
        </c:ser>
        <c:gapWidth val="0"/>
        <c:overlap val="100"/>
        <c:axId val="283235072"/>
        <c:axId val="283236992"/>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AUX!$K$456</c:f>
              <c:numCache>
                <c:formatCode>0.0</c:formatCode>
                <c:ptCount val="1"/>
                <c:pt idx="0">
                  <c:v>163.54685634541028</c:v>
                </c:pt>
              </c:numCache>
            </c:numRef>
          </c:xVal>
          <c:yVal>
            <c:numRef>
              <c:f>AUX!$K$434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AUX!$K$458</c:f>
              <c:numCache>
                <c:formatCode>0.0</c:formatCode>
                <c:ptCount val="1"/>
                <c:pt idx="0">
                  <c:v>163.54685634541028</c:v>
                </c:pt>
              </c:numCache>
            </c:numRef>
          </c:xVal>
          <c:yVal>
            <c:numRef>
              <c:f>AUX!$K$434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AUX!$K$457</c:f>
              <c:numCache>
                <c:formatCode>0.0</c:formatCode>
                <c:ptCount val="1"/>
                <c:pt idx="0">
                  <c:v>68.32360432506502</c:v>
                </c:pt>
              </c:numCache>
            </c:numRef>
          </c:xVal>
          <c:yVal>
            <c:numRef>
              <c:f>AUX!$K$434</c:f>
              <c:numCache>
                <c:formatCode>General</c:formatCode>
                <c:ptCount val="1"/>
                <c:pt idx="0">
                  <c:v>0</c:v>
                </c:pt>
              </c:numCache>
            </c:numRef>
          </c:yVal>
        </c:ser>
        <c:axId val="283248512"/>
        <c:axId val="283246976"/>
      </c:scatterChart>
      <c:catAx>
        <c:axId val="283235072"/>
        <c:scaling>
          <c:orientation val="minMax"/>
        </c:scaling>
        <c:delete val="1"/>
        <c:axPos val="l"/>
        <c:numFmt formatCode="General" sourceLinked="1"/>
        <c:tickLblPos val="none"/>
        <c:crossAx val="283236992"/>
        <c:crosses val="autoZero"/>
        <c:auto val="1"/>
        <c:lblAlgn val="ctr"/>
        <c:lblOffset val="100"/>
      </c:catAx>
      <c:valAx>
        <c:axId val="283236992"/>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3235072"/>
        <c:crosses val="autoZero"/>
        <c:crossBetween val="between"/>
      </c:valAx>
      <c:valAx>
        <c:axId val="283246976"/>
        <c:scaling>
          <c:orientation val="minMax"/>
          <c:max val="0.5"/>
          <c:min val="-0.5"/>
        </c:scaling>
        <c:delete val="1"/>
        <c:axPos val="r"/>
        <c:numFmt formatCode="General" sourceLinked="1"/>
        <c:tickLblPos val="none"/>
        <c:crossAx val="283248512"/>
        <c:crosses val="max"/>
        <c:crossBetween val="midCat"/>
      </c:valAx>
      <c:valAx>
        <c:axId val="283248512"/>
        <c:scaling>
          <c:orientation val="minMax"/>
        </c:scaling>
        <c:delete val="1"/>
        <c:axPos val="b"/>
        <c:numFmt formatCode="0.0" sourceLinked="1"/>
        <c:tickLblPos val="none"/>
        <c:crossAx val="283246976"/>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6">
                <a:lumMod val="20000"/>
                <a:lumOff val="80000"/>
              </a:schemeClr>
            </a:solidFill>
            <a:ln>
              <a:solidFill>
                <a:schemeClr val="accent6">
                  <a:lumMod val="20000"/>
                  <a:lumOff val="80000"/>
                </a:schemeClr>
              </a:solidFill>
            </a:ln>
          </c:spPr>
          <c:cat>
            <c:strRef>
              <c:f>AUX!$L$434</c:f>
              <c:strCache>
                <c:ptCount val="1"/>
                <c:pt idx="0">
                  <c:v>‰SubDes, 2012</c:v>
                </c:pt>
              </c:strCache>
            </c:strRef>
          </c:cat>
          <c:val>
            <c:numRef>
              <c:f>AUX!$L$460</c:f>
              <c:numCache>
                <c:formatCode>0.0</c:formatCode>
                <c:ptCount val="1"/>
                <c:pt idx="0">
                  <c:v>34.012454543469865</c:v>
                </c:pt>
              </c:numCache>
            </c:numRef>
          </c:val>
        </c:ser>
        <c:ser>
          <c:idx val="1"/>
          <c:order val="1"/>
          <c:tx>
            <c:strRef>
              <c:f>AUX!$A$461</c:f>
              <c:strCache>
                <c:ptCount val="1"/>
                <c:pt idx="0">
                  <c:v>2Q Box</c:v>
                </c:pt>
              </c:strCache>
            </c:strRef>
          </c:tx>
          <c:spPr>
            <a:solidFill>
              <a:schemeClr val="accent6">
                <a:lumMod val="60000"/>
                <a:lumOff val="40000"/>
              </a:schemeClr>
            </a:solidFill>
            <a:ln>
              <a:solidFill>
                <a:schemeClr val="accent6">
                  <a:lumMod val="20000"/>
                  <a:lumOff val="80000"/>
                </a:schemeClr>
              </a:solidFill>
            </a:ln>
          </c:spPr>
          <c:cat>
            <c:strRef>
              <c:f>AUX!$L$434</c:f>
              <c:strCache>
                <c:ptCount val="1"/>
                <c:pt idx="0">
                  <c:v>‰SubDes, 2012</c:v>
                </c:pt>
              </c:strCache>
            </c:strRef>
          </c:cat>
          <c:val>
            <c:numRef>
              <c:f>AUX!$L$461</c:f>
              <c:numCache>
                <c:formatCode>0.0</c:formatCode>
                <c:ptCount val="1"/>
                <c:pt idx="0">
                  <c:v>18.965227638232051</c:v>
                </c:pt>
              </c:numCache>
            </c:numRef>
          </c:val>
        </c:ser>
        <c:ser>
          <c:idx val="2"/>
          <c:order val="2"/>
          <c:tx>
            <c:strRef>
              <c:f>AUX!$A$462</c:f>
              <c:strCache>
                <c:ptCount val="1"/>
                <c:pt idx="0">
                  <c:v>3Q Box</c:v>
                </c:pt>
              </c:strCache>
            </c:strRef>
          </c:tx>
          <c:spPr>
            <a:solidFill>
              <a:schemeClr val="accent6">
                <a:lumMod val="60000"/>
                <a:lumOff val="40000"/>
              </a:schemeClr>
            </a:solidFill>
            <a:ln>
              <a:solidFill>
                <a:schemeClr val="accent6">
                  <a:lumMod val="20000"/>
                  <a:lumOff val="80000"/>
                </a:schemeClr>
              </a:solidFill>
            </a:ln>
          </c:spPr>
          <c:cat>
            <c:strRef>
              <c:f>AUX!$L$434</c:f>
              <c:strCache>
                <c:ptCount val="1"/>
                <c:pt idx="0">
                  <c:v>‰SubDes, 2012</c:v>
                </c:pt>
              </c:strCache>
            </c:strRef>
          </c:cat>
          <c:val>
            <c:numRef>
              <c:f>AUX!$L$462</c:f>
              <c:numCache>
                <c:formatCode>0.0</c:formatCode>
                <c:ptCount val="1"/>
                <c:pt idx="0">
                  <c:v>13.441565924233352</c:v>
                </c:pt>
              </c:numCache>
            </c:numRef>
          </c:val>
        </c:ser>
        <c:ser>
          <c:idx val="3"/>
          <c:order val="3"/>
          <c:tx>
            <c:strRef>
              <c:f>AUX!$A$464</c:f>
              <c:strCache>
                <c:ptCount val="1"/>
                <c:pt idx="0">
                  <c:v>bar2</c:v>
                </c:pt>
              </c:strCache>
            </c:strRef>
          </c:tx>
          <c:spPr>
            <a:solidFill>
              <a:schemeClr val="accent6">
                <a:lumMod val="20000"/>
                <a:lumOff val="80000"/>
              </a:schemeClr>
            </a:solidFill>
            <a:ln>
              <a:solidFill>
                <a:schemeClr val="accent6">
                  <a:lumMod val="20000"/>
                  <a:lumOff val="80000"/>
                </a:schemeClr>
              </a:solidFill>
            </a:ln>
          </c:spPr>
          <c:cat>
            <c:strRef>
              <c:f>AUX!$L$434</c:f>
              <c:strCache>
                <c:ptCount val="1"/>
                <c:pt idx="0">
                  <c:v>‰SubDes, 2012</c:v>
                </c:pt>
              </c:strCache>
            </c:strRef>
          </c:cat>
          <c:val>
            <c:numRef>
              <c:f>AUX!$L$464</c:f>
              <c:numCache>
                <c:formatCode>0.0</c:formatCode>
                <c:ptCount val="1"/>
                <c:pt idx="0">
                  <c:v>33.580751894064733</c:v>
                </c:pt>
              </c:numCache>
            </c:numRef>
          </c:val>
        </c:ser>
        <c:gapWidth val="0"/>
        <c:overlap val="100"/>
        <c:axId val="283298048"/>
        <c:axId val="283312512"/>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AUX!$L$456</c:f>
              <c:numCache>
                <c:formatCode>0.0</c:formatCode>
                <c:ptCount val="1"/>
                <c:pt idx="0">
                  <c:v>147.45926458903764</c:v>
                </c:pt>
              </c:numCache>
            </c:numRef>
          </c:xVal>
          <c:yVal>
            <c:numRef>
              <c:f>AUX!$M$434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AUX!$L$458</c:f>
              <c:numCache>
                <c:formatCode>0.0</c:formatCode>
                <c:ptCount val="1"/>
                <c:pt idx="0">
                  <c:v>147.45926458903764</c:v>
                </c:pt>
              </c:numCache>
            </c:numRef>
          </c:xVal>
          <c:yVal>
            <c:numRef>
              <c:f>AUX!$M$434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AUX!$L$457</c:f>
              <c:numCache>
                <c:formatCode>0.0</c:formatCode>
                <c:ptCount val="1"/>
                <c:pt idx="0">
                  <c:v>49.797126749782628</c:v>
                </c:pt>
              </c:numCache>
            </c:numRef>
          </c:xVal>
          <c:yVal>
            <c:numRef>
              <c:f>AUX!$M$434</c:f>
              <c:numCache>
                <c:formatCode>General</c:formatCode>
                <c:ptCount val="1"/>
                <c:pt idx="0">
                  <c:v>0</c:v>
                </c:pt>
              </c:numCache>
            </c:numRef>
          </c:yVal>
        </c:ser>
        <c:axId val="283315584"/>
        <c:axId val="283314048"/>
      </c:scatterChart>
      <c:catAx>
        <c:axId val="283298048"/>
        <c:scaling>
          <c:orientation val="minMax"/>
        </c:scaling>
        <c:delete val="1"/>
        <c:axPos val="l"/>
        <c:numFmt formatCode="General" sourceLinked="1"/>
        <c:tickLblPos val="none"/>
        <c:crossAx val="283312512"/>
        <c:crosses val="autoZero"/>
        <c:auto val="1"/>
        <c:lblAlgn val="ctr"/>
        <c:lblOffset val="100"/>
      </c:catAx>
      <c:valAx>
        <c:axId val="283312512"/>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3298048"/>
        <c:crosses val="autoZero"/>
        <c:crossBetween val="between"/>
      </c:valAx>
      <c:valAx>
        <c:axId val="283314048"/>
        <c:scaling>
          <c:orientation val="minMax"/>
          <c:max val="0.5"/>
          <c:min val="-0.5"/>
        </c:scaling>
        <c:delete val="1"/>
        <c:axPos val="r"/>
        <c:numFmt formatCode="General" sourceLinked="1"/>
        <c:tickLblPos val="none"/>
        <c:crossAx val="283315584"/>
        <c:crosses val="max"/>
        <c:crossBetween val="midCat"/>
      </c:valAx>
      <c:valAx>
        <c:axId val="283315584"/>
        <c:scaling>
          <c:orientation val="minMax"/>
        </c:scaling>
        <c:delete val="1"/>
        <c:axPos val="b"/>
        <c:numFmt formatCode="0.0" sourceLinked="1"/>
        <c:tickLblPos val="none"/>
        <c:crossAx val="283314048"/>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6">
                <a:lumMod val="20000"/>
                <a:lumOff val="80000"/>
              </a:schemeClr>
            </a:solidFill>
            <a:ln>
              <a:solidFill>
                <a:schemeClr val="accent6">
                  <a:lumMod val="20000"/>
                  <a:lumOff val="80000"/>
                </a:schemeClr>
              </a:solidFill>
            </a:ln>
          </c:spPr>
          <c:cat>
            <c:strRef>
              <c:f>AUX!$O$434</c:f>
              <c:strCache>
                <c:ptCount val="1"/>
                <c:pt idx="0">
                  <c:v>SistemaPublico AbastAgua</c:v>
                </c:pt>
              </c:strCache>
            </c:strRef>
          </c:cat>
          <c:val>
            <c:numRef>
              <c:f>AUX!$O$460</c:f>
              <c:numCache>
                <c:formatCode>0.0</c:formatCode>
                <c:ptCount val="1"/>
                <c:pt idx="0">
                  <c:v>81.882117665358578</c:v>
                </c:pt>
              </c:numCache>
            </c:numRef>
          </c:val>
        </c:ser>
        <c:ser>
          <c:idx val="1"/>
          <c:order val="1"/>
          <c:tx>
            <c:strRef>
              <c:f>AUX!$A$461</c:f>
              <c:strCache>
                <c:ptCount val="1"/>
                <c:pt idx="0">
                  <c:v>2Q Box</c:v>
                </c:pt>
              </c:strCache>
            </c:strRef>
          </c:tx>
          <c:spPr>
            <a:solidFill>
              <a:schemeClr val="accent6">
                <a:lumMod val="60000"/>
                <a:lumOff val="40000"/>
              </a:schemeClr>
            </a:solidFill>
            <a:ln>
              <a:solidFill>
                <a:schemeClr val="accent6">
                  <a:lumMod val="20000"/>
                  <a:lumOff val="80000"/>
                </a:schemeClr>
              </a:solidFill>
            </a:ln>
          </c:spPr>
          <c:cat>
            <c:strRef>
              <c:f>AUX!$O$434</c:f>
              <c:strCache>
                <c:ptCount val="1"/>
                <c:pt idx="0">
                  <c:v>SistemaPublico AbastAgua</c:v>
                </c:pt>
              </c:strCache>
            </c:strRef>
          </c:cat>
          <c:val>
            <c:numRef>
              <c:f>AUX!$O$461</c:f>
              <c:numCache>
                <c:formatCode>0.0</c:formatCode>
                <c:ptCount val="1"/>
                <c:pt idx="0">
                  <c:v>8.7810508627242427</c:v>
                </c:pt>
              </c:numCache>
            </c:numRef>
          </c:val>
        </c:ser>
        <c:ser>
          <c:idx val="2"/>
          <c:order val="2"/>
          <c:tx>
            <c:strRef>
              <c:f>AUX!$A$462</c:f>
              <c:strCache>
                <c:ptCount val="1"/>
                <c:pt idx="0">
                  <c:v>3Q Box</c:v>
                </c:pt>
              </c:strCache>
            </c:strRef>
          </c:tx>
          <c:spPr>
            <a:solidFill>
              <a:schemeClr val="accent6">
                <a:lumMod val="60000"/>
                <a:lumOff val="40000"/>
              </a:schemeClr>
            </a:solidFill>
            <a:ln>
              <a:solidFill>
                <a:schemeClr val="accent6">
                  <a:lumMod val="20000"/>
                  <a:lumOff val="80000"/>
                </a:schemeClr>
              </a:solidFill>
            </a:ln>
          </c:spPr>
          <c:cat>
            <c:strRef>
              <c:f>AUX!$O$434</c:f>
              <c:strCache>
                <c:ptCount val="1"/>
                <c:pt idx="0">
                  <c:v>SistemaPublico AbastAgua</c:v>
                </c:pt>
              </c:strCache>
            </c:strRef>
          </c:cat>
          <c:val>
            <c:numRef>
              <c:f>AUX!$O$462</c:f>
              <c:numCache>
                <c:formatCode>0.0</c:formatCode>
                <c:ptCount val="1"/>
                <c:pt idx="0">
                  <c:v>7.2210094701536036</c:v>
                </c:pt>
              </c:numCache>
            </c:numRef>
          </c:val>
        </c:ser>
        <c:ser>
          <c:idx val="3"/>
          <c:order val="3"/>
          <c:tx>
            <c:strRef>
              <c:f>AUX!$A$464</c:f>
              <c:strCache>
                <c:ptCount val="1"/>
                <c:pt idx="0">
                  <c:v>bar2</c:v>
                </c:pt>
              </c:strCache>
            </c:strRef>
          </c:tx>
          <c:spPr>
            <a:solidFill>
              <a:schemeClr val="accent6">
                <a:lumMod val="20000"/>
                <a:lumOff val="80000"/>
              </a:schemeClr>
            </a:solidFill>
            <a:ln>
              <a:solidFill>
                <a:schemeClr val="accent6">
                  <a:lumMod val="20000"/>
                  <a:lumOff val="80000"/>
                </a:schemeClr>
              </a:solidFill>
            </a:ln>
          </c:spPr>
          <c:cat>
            <c:strRef>
              <c:f>AUX!$O$434</c:f>
              <c:strCache>
                <c:ptCount val="1"/>
                <c:pt idx="0">
                  <c:v>SistemaPublico AbastAgua</c:v>
                </c:pt>
              </c:strCache>
            </c:strRef>
          </c:cat>
          <c:val>
            <c:numRef>
              <c:f>AUX!$O$464</c:f>
              <c:numCache>
                <c:formatCode>0.0</c:formatCode>
                <c:ptCount val="1"/>
                <c:pt idx="0">
                  <c:v>2.1158220017635756</c:v>
                </c:pt>
              </c:numCache>
            </c:numRef>
          </c:val>
        </c:ser>
        <c:gapWidth val="0"/>
        <c:overlap val="100"/>
        <c:axId val="283361280"/>
        <c:axId val="283363200"/>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AUX!$O$456</c:f>
              <c:numCache>
                <c:formatCode>0.0</c:formatCode>
                <c:ptCount val="1"/>
                <c:pt idx="0">
                  <c:v>-163.35170273439257</c:v>
                </c:pt>
              </c:numCache>
            </c:numRef>
          </c:xVal>
          <c:yVal>
            <c:numRef>
              <c:f>AUX!$O$434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AUX!$O$458</c:f>
              <c:numCache>
                <c:formatCode>0.0</c:formatCode>
                <c:ptCount val="1"/>
                <c:pt idx="0">
                  <c:v>-163.35170273439257</c:v>
                </c:pt>
              </c:numCache>
            </c:numRef>
          </c:xVal>
          <c:yVal>
            <c:numRef>
              <c:f>AUX!$O$434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AUX!$O$457</c:f>
              <c:numCache>
                <c:formatCode>0.0</c:formatCode>
                <c:ptCount val="1"/>
                <c:pt idx="0">
                  <c:v>87.312561579184717</c:v>
                </c:pt>
              </c:numCache>
            </c:numRef>
          </c:xVal>
          <c:yVal>
            <c:numRef>
              <c:f>AUX!$O$434</c:f>
              <c:numCache>
                <c:formatCode>General</c:formatCode>
                <c:ptCount val="1"/>
                <c:pt idx="0">
                  <c:v>0</c:v>
                </c:pt>
              </c:numCache>
            </c:numRef>
          </c:yVal>
        </c:ser>
        <c:axId val="283378816"/>
        <c:axId val="283364736"/>
      </c:scatterChart>
      <c:catAx>
        <c:axId val="283361280"/>
        <c:scaling>
          <c:orientation val="minMax"/>
        </c:scaling>
        <c:delete val="1"/>
        <c:axPos val="l"/>
        <c:numFmt formatCode="General" sourceLinked="1"/>
        <c:tickLblPos val="none"/>
        <c:crossAx val="283363200"/>
        <c:crosses val="autoZero"/>
        <c:auto val="1"/>
        <c:lblAlgn val="ctr"/>
        <c:lblOffset val="100"/>
      </c:catAx>
      <c:valAx>
        <c:axId val="283363200"/>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3361280"/>
        <c:crosses val="autoZero"/>
        <c:crossBetween val="between"/>
      </c:valAx>
      <c:valAx>
        <c:axId val="283364736"/>
        <c:scaling>
          <c:orientation val="minMax"/>
          <c:max val="0.5"/>
          <c:min val="-0.5"/>
        </c:scaling>
        <c:delete val="1"/>
        <c:axPos val="r"/>
        <c:numFmt formatCode="General" sourceLinked="1"/>
        <c:tickLblPos val="none"/>
        <c:crossAx val="283378816"/>
        <c:crosses val="max"/>
        <c:crossBetween val="midCat"/>
      </c:valAx>
      <c:valAx>
        <c:axId val="283378816"/>
        <c:scaling>
          <c:orientation val="minMax"/>
        </c:scaling>
        <c:delete val="1"/>
        <c:axPos val="b"/>
        <c:numFmt formatCode="0.0" sourceLinked="1"/>
        <c:tickLblPos val="none"/>
        <c:crossAx val="283364736"/>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4">
                <a:lumMod val="20000"/>
                <a:lumOff val="80000"/>
              </a:schemeClr>
            </a:solidFill>
            <a:ln>
              <a:solidFill>
                <a:schemeClr val="accent4">
                  <a:lumMod val="20000"/>
                  <a:lumOff val="80000"/>
                </a:schemeClr>
              </a:solidFill>
            </a:ln>
          </c:spPr>
          <c:cat>
            <c:strRef>
              <c:f>AUX!$R$434</c:f>
              <c:strCache>
                <c:ptCount val="1"/>
                <c:pt idx="0">
                  <c:v>%Nasc. Mulh &lt;20 anos</c:v>
                </c:pt>
              </c:strCache>
            </c:strRef>
          </c:cat>
          <c:val>
            <c:numRef>
              <c:f>AUX!$R$460</c:f>
              <c:numCache>
                <c:formatCode>0.0</c:formatCode>
                <c:ptCount val="1"/>
                <c:pt idx="0">
                  <c:v>57.52747654920077</c:v>
                </c:pt>
              </c:numCache>
            </c:numRef>
          </c:val>
        </c:ser>
        <c:ser>
          <c:idx val="1"/>
          <c:order val="1"/>
          <c:tx>
            <c:strRef>
              <c:f>AUX!$A$461</c:f>
              <c:strCache>
                <c:ptCount val="1"/>
                <c:pt idx="0">
                  <c:v>2Q Box</c:v>
                </c:pt>
              </c:strCache>
            </c:strRef>
          </c:tx>
          <c:spPr>
            <a:solidFill>
              <a:schemeClr val="accent4">
                <a:lumMod val="60000"/>
                <a:lumOff val="40000"/>
              </a:schemeClr>
            </a:solidFill>
            <a:ln>
              <a:solidFill>
                <a:schemeClr val="accent4">
                  <a:lumMod val="20000"/>
                  <a:lumOff val="80000"/>
                </a:schemeClr>
              </a:solidFill>
            </a:ln>
          </c:spPr>
          <c:cat>
            <c:strRef>
              <c:f>AUX!$R$434</c:f>
              <c:strCache>
                <c:ptCount val="1"/>
                <c:pt idx="0">
                  <c:v>%Nasc. Mulh &lt;20 anos</c:v>
                </c:pt>
              </c:strCache>
            </c:strRef>
          </c:cat>
          <c:val>
            <c:numRef>
              <c:f>AUX!$R$461</c:f>
              <c:numCache>
                <c:formatCode>0.0</c:formatCode>
                <c:ptCount val="1"/>
                <c:pt idx="0">
                  <c:v>10.669220151442858</c:v>
                </c:pt>
              </c:numCache>
            </c:numRef>
          </c:val>
        </c:ser>
        <c:ser>
          <c:idx val="2"/>
          <c:order val="2"/>
          <c:tx>
            <c:strRef>
              <c:f>AUX!$A$462</c:f>
              <c:strCache>
                <c:ptCount val="1"/>
                <c:pt idx="0">
                  <c:v>3Q Box</c:v>
                </c:pt>
              </c:strCache>
            </c:strRef>
          </c:tx>
          <c:spPr>
            <a:solidFill>
              <a:schemeClr val="accent4">
                <a:lumMod val="60000"/>
                <a:lumOff val="40000"/>
              </a:schemeClr>
            </a:solidFill>
            <a:ln>
              <a:solidFill>
                <a:schemeClr val="accent4">
                  <a:lumMod val="20000"/>
                  <a:lumOff val="80000"/>
                </a:schemeClr>
              </a:solidFill>
            </a:ln>
          </c:spPr>
          <c:cat>
            <c:strRef>
              <c:f>AUX!$R$434</c:f>
              <c:strCache>
                <c:ptCount val="1"/>
                <c:pt idx="0">
                  <c:v>%Nasc. Mulh &lt;20 anos</c:v>
                </c:pt>
              </c:strCache>
            </c:strRef>
          </c:cat>
          <c:val>
            <c:numRef>
              <c:f>AUX!$R$462</c:f>
              <c:numCache>
                <c:formatCode>0.0</c:formatCode>
                <c:ptCount val="1"/>
                <c:pt idx="0">
                  <c:v>18.507243472850149</c:v>
                </c:pt>
              </c:numCache>
            </c:numRef>
          </c:val>
        </c:ser>
        <c:ser>
          <c:idx val="3"/>
          <c:order val="3"/>
          <c:tx>
            <c:strRef>
              <c:f>AUX!$A$464</c:f>
              <c:strCache>
                <c:ptCount val="1"/>
                <c:pt idx="0">
                  <c:v>bar2</c:v>
                </c:pt>
              </c:strCache>
            </c:strRef>
          </c:tx>
          <c:spPr>
            <a:solidFill>
              <a:schemeClr val="accent4">
                <a:lumMod val="20000"/>
                <a:lumOff val="80000"/>
              </a:schemeClr>
            </a:solidFill>
            <a:ln>
              <a:solidFill>
                <a:schemeClr val="accent4">
                  <a:lumMod val="20000"/>
                  <a:lumOff val="80000"/>
                </a:schemeClr>
              </a:solidFill>
            </a:ln>
          </c:spPr>
          <c:cat>
            <c:strRef>
              <c:f>AUX!$R$434</c:f>
              <c:strCache>
                <c:ptCount val="1"/>
                <c:pt idx="0">
                  <c:v>%Nasc. Mulh &lt;20 anos</c:v>
                </c:pt>
              </c:strCache>
            </c:strRef>
          </c:cat>
          <c:val>
            <c:numRef>
              <c:f>AUX!$R$464</c:f>
              <c:numCache>
                <c:formatCode>0.0</c:formatCode>
                <c:ptCount val="1"/>
                <c:pt idx="0">
                  <c:v>13.296059826506223</c:v>
                </c:pt>
              </c:numCache>
            </c:numRef>
          </c:val>
        </c:ser>
        <c:gapWidth val="0"/>
        <c:overlap val="100"/>
        <c:axId val="283432448"/>
        <c:axId val="283434368"/>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AUX!$R$456</c:f>
              <c:numCache>
                <c:formatCode>0.0</c:formatCode>
                <c:ptCount val="1"/>
                <c:pt idx="0">
                  <c:v>139.52140674038768</c:v>
                </c:pt>
              </c:numCache>
            </c:numRef>
          </c:xVal>
          <c:yVal>
            <c:numRef>
              <c:f>AUX!$R$434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AUX!$R$458</c:f>
              <c:numCache>
                <c:formatCode>0.0</c:formatCode>
                <c:ptCount val="1"/>
                <c:pt idx="0">
                  <c:v>139.52140674038768</c:v>
                </c:pt>
              </c:numCache>
            </c:numRef>
          </c:xVal>
          <c:yVal>
            <c:numRef>
              <c:f>AUX!$R$434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AUX!$R$457</c:f>
              <c:numCache>
                <c:formatCode>0.0</c:formatCode>
                <c:ptCount val="1"/>
                <c:pt idx="0">
                  <c:v>68.560781339367921</c:v>
                </c:pt>
              </c:numCache>
            </c:numRef>
          </c:xVal>
          <c:yVal>
            <c:numRef>
              <c:f>AUX!$R$434</c:f>
              <c:numCache>
                <c:formatCode>General</c:formatCode>
                <c:ptCount val="1"/>
                <c:pt idx="0">
                  <c:v>0</c:v>
                </c:pt>
              </c:numCache>
            </c:numRef>
          </c:yVal>
        </c:ser>
        <c:axId val="283445888"/>
        <c:axId val="283444352"/>
      </c:scatterChart>
      <c:catAx>
        <c:axId val="283432448"/>
        <c:scaling>
          <c:orientation val="minMax"/>
        </c:scaling>
        <c:delete val="1"/>
        <c:axPos val="l"/>
        <c:tickLblPos val="none"/>
        <c:crossAx val="283434368"/>
        <c:crosses val="autoZero"/>
        <c:auto val="1"/>
        <c:lblAlgn val="ctr"/>
        <c:lblOffset val="100"/>
      </c:catAx>
      <c:valAx>
        <c:axId val="283434368"/>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3432448"/>
        <c:crosses val="autoZero"/>
        <c:crossBetween val="between"/>
      </c:valAx>
      <c:valAx>
        <c:axId val="283444352"/>
        <c:scaling>
          <c:orientation val="minMax"/>
          <c:max val="0.5"/>
          <c:min val="-0.5"/>
        </c:scaling>
        <c:delete val="1"/>
        <c:axPos val="r"/>
        <c:numFmt formatCode="General" sourceLinked="1"/>
        <c:tickLblPos val="none"/>
        <c:crossAx val="283445888"/>
        <c:crosses val="max"/>
        <c:crossBetween val="midCat"/>
      </c:valAx>
      <c:valAx>
        <c:axId val="283445888"/>
        <c:scaling>
          <c:orientation val="minMax"/>
        </c:scaling>
        <c:delete val="1"/>
        <c:axPos val="b"/>
        <c:numFmt formatCode="0.0" sourceLinked="1"/>
        <c:tickLblPos val="none"/>
        <c:crossAx val="283444352"/>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4">
                <a:lumMod val="20000"/>
                <a:lumOff val="80000"/>
              </a:schemeClr>
            </a:solidFill>
            <a:ln>
              <a:solidFill>
                <a:schemeClr val="accent4">
                  <a:lumMod val="20000"/>
                  <a:lumOff val="80000"/>
                </a:schemeClr>
              </a:solidFill>
            </a:ln>
          </c:spPr>
          <c:cat>
            <c:strRef>
              <c:f>AUX!$S$434</c:f>
              <c:strCache>
                <c:ptCount val="1"/>
                <c:pt idx="0">
                  <c:v>%Nasc. Mulh &gt;=35 anos</c:v>
                </c:pt>
              </c:strCache>
            </c:strRef>
          </c:cat>
          <c:val>
            <c:numRef>
              <c:f>AUX!$S$460</c:f>
              <c:numCache>
                <c:formatCode>0.0</c:formatCode>
                <c:ptCount val="1"/>
                <c:pt idx="0">
                  <c:v>62.063753414069225</c:v>
                </c:pt>
              </c:numCache>
            </c:numRef>
          </c:val>
        </c:ser>
        <c:ser>
          <c:idx val="1"/>
          <c:order val="1"/>
          <c:tx>
            <c:strRef>
              <c:f>AUX!$A$461</c:f>
              <c:strCache>
                <c:ptCount val="1"/>
                <c:pt idx="0">
                  <c:v>2Q Box</c:v>
                </c:pt>
              </c:strCache>
            </c:strRef>
          </c:tx>
          <c:spPr>
            <a:solidFill>
              <a:schemeClr val="accent4">
                <a:lumMod val="60000"/>
                <a:lumOff val="40000"/>
              </a:schemeClr>
            </a:solidFill>
            <a:ln>
              <a:solidFill>
                <a:schemeClr val="accent4">
                  <a:lumMod val="20000"/>
                  <a:lumOff val="80000"/>
                </a:schemeClr>
              </a:solidFill>
            </a:ln>
          </c:spPr>
          <c:cat>
            <c:strRef>
              <c:f>AUX!$S$434</c:f>
              <c:strCache>
                <c:ptCount val="1"/>
                <c:pt idx="0">
                  <c:v>%Nasc. Mulh &gt;=35 anos</c:v>
                </c:pt>
              </c:strCache>
            </c:strRef>
          </c:cat>
          <c:val>
            <c:numRef>
              <c:f>AUX!$S$461</c:f>
              <c:numCache>
                <c:formatCode>0.0</c:formatCode>
                <c:ptCount val="1"/>
                <c:pt idx="0">
                  <c:v>13.213016337303998</c:v>
                </c:pt>
              </c:numCache>
            </c:numRef>
          </c:val>
        </c:ser>
        <c:ser>
          <c:idx val="2"/>
          <c:order val="2"/>
          <c:tx>
            <c:strRef>
              <c:f>AUX!$A$462</c:f>
              <c:strCache>
                <c:ptCount val="1"/>
                <c:pt idx="0">
                  <c:v>3Q Box</c:v>
                </c:pt>
              </c:strCache>
            </c:strRef>
          </c:tx>
          <c:spPr>
            <a:solidFill>
              <a:schemeClr val="accent4">
                <a:lumMod val="60000"/>
                <a:lumOff val="40000"/>
              </a:schemeClr>
            </a:solidFill>
            <a:ln>
              <a:solidFill>
                <a:schemeClr val="accent4">
                  <a:lumMod val="20000"/>
                  <a:lumOff val="80000"/>
                </a:schemeClr>
              </a:solidFill>
            </a:ln>
          </c:spPr>
          <c:cat>
            <c:strRef>
              <c:f>AUX!$S$434</c:f>
              <c:strCache>
                <c:ptCount val="1"/>
                <c:pt idx="0">
                  <c:v>%Nasc. Mulh &gt;=35 anos</c:v>
                </c:pt>
              </c:strCache>
            </c:strRef>
          </c:cat>
          <c:val>
            <c:numRef>
              <c:f>AUX!$S$462</c:f>
              <c:numCache>
                <c:formatCode>0.0</c:formatCode>
                <c:ptCount val="1"/>
                <c:pt idx="0">
                  <c:v>8.7625304164914439</c:v>
                </c:pt>
              </c:numCache>
            </c:numRef>
          </c:val>
        </c:ser>
        <c:ser>
          <c:idx val="3"/>
          <c:order val="3"/>
          <c:tx>
            <c:strRef>
              <c:f>AUX!$A$464</c:f>
              <c:strCache>
                <c:ptCount val="1"/>
                <c:pt idx="0">
                  <c:v>bar2</c:v>
                </c:pt>
              </c:strCache>
            </c:strRef>
          </c:tx>
          <c:spPr>
            <a:solidFill>
              <a:schemeClr val="accent4">
                <a:lumMod val="20000"/>
                <a:lumOff val="80000"/>
              </a:schemeClr>
            </a:solidFill>
            <a:ln>
              <a:solidFill>
                <a:schemeClr val="accent4">
                  <a:lumMod val="20000"/>
                  <a:lumOff val="80000"/>
                </a:schemeClr>
              </a:solidFill>
            </a:ln>
          </c:spPr>
          <c:cat>
            <c:strRef>
              <c:f>AUX!$S$434</c:f>
              <c:strCache>
                <c:ptCount val="1"/>
                <c:pt idx="0">
                  <c:v>%Nasc. Mulh &gt;=35 anos</c:v>
                </c:pt>
              </c:strCache>
            </c:strRef>
          </c:cat>
          <c:val>
            <c:numRef>
              <c:f>AUX!$S$464</c:f>
              <c:numCache>
                <c:formatCode>0.0</c:formatCode>
                <c:ptCount val="1"/>
                <c:pt idx="0">
                  <c:v>15.960699832135333</c:v>
                </c:pt>
              </c:numCache>
            </c:numRef>
          </c:val>
        </c:ser>
        <c:gapWidth val="0"/>
        <c:overlap val="100"/>
        <c:axId val="283495424"/>
        <c:axId val="283505792"/>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AUX!$S$456</c:f>
              <c:numCache>
                <c:formatCode>0.0</c:formatCode>
                <c:ptCount val="1"/>
                <c:pt idx="0">
                  <c:v>212.26933490749303</c:v>
                </c:pt>
              </c:numCache>
            </c:numRef>
          </c:xVal>
          <c:yVal>
            <c:numRef>
              <c:f>AUX!$S$434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AUX!$S$458</c:f>
              <c:numCache>
                <c:formatCode>0.0</c:formatCode>
                <c:ptCount val="1"/>
                <c:pt idx="0">
                  <c:v>212.26933490749303</c:v>
                </c:pt>
              </c:numCache>
            </c:numRef>
          </c:xVal>
          <c:yVal>
            <c:numRef>
              <c:f>AUX!$S$434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AUX!$S$457</c:f>
              <c:numCache>
                <c:formatCode>0.0</c:formatCode>
                <c:ptCount val="1"/>
                <c:pt idx="0">
                  <c:v>65.888645591022154</c:v>
                </c:pt>
              </c:numCache>
            </c:numRef>
          </c:xVal>
          <c:yVal>
            <c:numRef>
              <c:f>AUX!$S$434</c:f>
              <c:numCache>
                <c:formatCode>General</c:formatCode>
                <c:ptCount val="1"/>
                <c:pt idx="0">
                  <c:v>0</c:v>
                </c:pt>
              </c:numCache>
            </c:numRef>
          </c:yVal>
        </c:ser>
        <c:axId val="283513216"/>
        <c:axId val="283507328"/>
      </c:scatterChart>
      <c:catAx>
        <c:axId val="283495424"/>
        <c:scaling>
          <c:orientation val="minMax"/>
        </c:scaling>
        <c:delete val="1"/>
        <c:axPos val="l"/>
        <c:tickLblPos val="none"/>
        <c:crossAx val="283505792"/>
        <c:crosses val="autoZero"/>
        <c:auto val="1"/>
        <c:lblAlgn val="ctr"/>
        <c:lblOffset val="100"/>
      </c:catAx>
      <c:valAx>
        <c:axId val="283505792"/>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3495424"/>
        <c:crosses val="autoZero"/>
        <c:crossBetween val="between"/>
      </c:valAx>
      <c:valAx>
        <c:axId val="283507328"/>
        <c:scaling>
          <c:orientation val="minMax"/>
          <c:max val="0.5"/>
          <c:min val="-0.5"/>
        </c:scaling>
        <c:delete val="1"/>
        <c:axPos val="r"/>
        <c:numFmt formatCode="General" sourceLinked="1"/>
        <c:tickLblPos val="none"/>
        <c:crossAx val="283513216"/>
        <c:crosses val="max"/>
        <c:crossBetween val="midCat"/>
      </c:valAx>
      <c:valAx>
        <c:axId val="283513216"/>
        <c:scaling>
          <c:orientation val="minMax"/>
        </c:scaling>
        <c:delete val="1"/>
        <c:axPos val="b"/>
        <c:numFmt formatCode="0.0" sourceLinked="1"/>
        <c:tickLblPos val="none"/>
        <c:crossAx val="283507328"/>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AUX!$Z$434</c:f>
              <c:strCache>
                <c:ptCount val="1"/>
                <c:pt idx="0">
                  <c:v>Crian Baixo Peso Nasc.</c:v>
                </c:pt>
              </c:strCache>
            </c:strRef>
          </c:cat>
          <c:val>
            <c:numRef>
              <c:f>AUX!$Z$460</c:f>
              <c:numCache>
                <c:formatCode>0.0</c:formatCode>
                <c:ptCount val="1"/>
                <c:pt idx="0">
                  <c:v>34.855661257077713</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AUX!$Z$434</c:f>
              <c:strCache>
                <c:ptCount val="1"/>
                <c:pt idx="0">
                  <c:v>Crian Baixo Peso Nasc.</c:v>
                </c:pt>
              </c:strCache>
            </c:strRef>
          </c:cat>
          <c:val>
            <c:numRef>
              <c:f>AUX!$Z$461</c:f>
              <c:numCache>
                <c:formatCode>0.0</c:formatCode>
                <c:ptCount val="1"/>
                <c:pt idx="0">
                  <c:v>15.940769147073581</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AUX!$Z$434</c:f>
              <c:strCache>
                <c:ptCount val="1"/>
                <c:pt idx="0">
                  <c:v>Crian Baixo Peso Nasc.</c:v>
                </c:pt>
              </c:strCache>
            </c:strRef>
          </c:cat>
          <c:val>
            <c:numRef>
              <c:f>AUX!$Z$462</c:f>
              <c:numCache>
                <c:formatCode>0.0</c:formatCode>
                <c:ptCount val="1"/>
                <c:pt idx="0">
                  <c:v>12.454465973939584</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AUX!$Z$434</c:f>
              <c:strCache>
                <c:ptCount val="1"/>
                <c:pt idx="0">
                  <c:v>Crian Baixo Peso Nasc.</c:v>
                </c:pt>
              </c:strCache>
            </c:strRef>
          </c:cat>
          <c:val>
            <c:numRef>
              <c:f>AUX!$Z$464</c:f>
              <c:numCache>
                <c:formatCode>0.0</c:formatCode>
                <c:ptCount val="1"/>
                <c:pt idx="0">
                  <c:v>36.749103621909121</c:v>
                </c:pt>
              </c:numCache>
            </c:numRef>
          </c:val>
        </c:ser>
        <c:gapWidth val="0"/>
        <c:overlap val="100"/>
        <c:axId val="283566848"/>
        <c:axId val="283568768"/>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AUX!$Z$456</c:f>
              <c:numCache>
                <c:formatCode>0.0</c:formatCode>
                <c:ptCount val="1"/>
                <c:pt idx="0">
                  <c:v>260.09569112952931</c:v>
                </c:pt>
              </c:numCache>
            </c:numRef>
          </c:xVal>
          <c:yVal>
            <c:numRef>
              <c:f>AUX!$Z$434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AUX!$Z$458</c:f>
              <c:numCache>
                <c:formatCode>0.0</c:formatCode>
                <c:ptCount val="1"/>
                <c:pt idx="0">
                  <c:v>260.09569112952931</c:v>
                </c:pt>
              </c:numCache>
            </c:numRef>
          </c:xVal>
          <c:yVal>
            <c:numRef>
              <c:f>AUX!$Z$434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AUX!$Z$457</c:f>
              <c:numCache>
                <c:formatCode>0.0</c:formatCode>
                <c:ptCount val="1"/>
                <c:pt idx="0">
                  <c:v>48.363076142663417</c:v>
                </c:pt>
              </c:numCache>
            </c:numRef>
          </c:xVal>
          <c:yVal>
            <c:numRef>
              <c:f>AUX!$Z$434</c:f>
              <c:numCache>
                <c:formatCode>General</c:formatCode>
                <c:ptCount val="1"/>
                <c:pt idx="0">
                  <c:v>0</c:v>
                </c:pt>
              </c:numCache>
            </c:numRef>
          </c:yVal>
        </c:ser>
        <c:axId val="283641728"/>
        <c:axId val="283640192"/>
      </c:scatterChart>
      <c:catAx>
        <c:axId val="283566848"/>
        <c:scaling>
          <c:orientation val="minMax"/>
        </c:scaling>
        <c:delete val="1"/>
        <c:axPos val="l"/>
        <c:tickLblPos val="none"/>
        <c:crossAx val="283568768"/>
        <c:crosses val="autoZero"/>
        <c:auto val="1"/>
        <c:lblAlgn val="ctr"/>
        <c:lblOffset val="100"/>
      </c:catAx>
      <c:valAx>
        <c:axId val="283568768"/>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3566848"/>
        <c:crosses val="autoZero"/>
        <c:crossBetween val="between"/>
      </c:valAx>
      <c:valAx>
        <c:axId val="283640192"/>
        <c:scaling>
          <c:orientation val="minMax"/>
          <c:max val="0.5"/>
          <c:min val="-0.5"/>
        </c:scaling>
        <c:delete val="1"/>
        <c:axPos val="r"/>
        <c:numFmt formatCode="General" sourceLinked="1"/>
        <c:tickLblPos val="none"/>
        <c:crossAx val="283641728"/>
        <c:crosses val="max"/>
        <c:crossBetween val="midCat"/>
      </c:valAx>
      <c:valAx>
        <c:axId val="283641728"/>
        <c:scaling>
          <c:orientation val="minMax"/>
        </c:scaling>
        <c:delete val="1"/>
        <c:axPos val="b"/>
        <c:numFmt formatCode="0.0" sourceLinked="1"/>
        <c:tickLblPos val="none"/>
        <c:crossAx val="283640192"/>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AUX!$AB$434</c:f>
              <c:strCache>
                <c:ptCount val="1"/>
                <c:pt idx="0">
                  <c:v>Mortalidade Infantil</c:v>
                </c:pt>
              </c:strCache>
            </c:strRef>
          </c:cat>
          <c:val>
            <c:numRef>
              <c:f>AUX!$AB$460</c:f>
              <c:numCache>
                <c:formatCode>0.0</c:formatCode>
                <c:ptCount val="1"/>
                <c:pt idx="0">
                  <c:v>60.790251357421987</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AUX!$AB$434</c:f>
              <c:strCache>
                <c:ptCount val="1"/>
                <c:pt idx="0">
                  <c:v>Mortalidade Infantil</c:v>
                </c:pt>
              </c:strCache>
            </c:strRef>
          </c:cat>
          <c:val>
            <c:numRef>
              <c:f>AUX!$AB$461</c:f>
              <c:numCache>
                <c:formatCode>0.0</c:formatCode>
                <c:ptCount val="1"/>
                <c:pt idx="0">
                  <c:v>10.10858971423486</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AUX!$AB$434</c:f>
              <c:strCache>
                <c:ptCount val="1"/>
                <c:pt idx="0">
                  <c:v>Mortalidade Infantil</c:v>
                </c:pt>
              </c:strCache>
            </c:strRef>
          </c:cat>
          <c:val>
            <c:numRef>
              <c:f>AUX!$AB$462</c:f>
              <c:numCache>
                <c:formatCode>0.0</c:formatCode>
                <c:ptCount val="1"/>
                <c:pt idx="0">
                  <c:v>7.357944059831695</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AUX!$AB$434</c:f>
              <c:strCache>
                <c:ptCount val="1"/>
                <c:pt idx="0">
                  <c:v>Mortalidade Infantil</c:v>
                </c:pt>
              </c:strCache>
            </c:strRef>
          </c:cat>
          <c:val>
            <c:numRef>
              <c:f>AUX!$AB$464</c:f>
              <c:numCache>
                <c:formatCode>0.0</c:formatCode>
                <c:ptCount val="1"/>
                <c:pt idx="0">
                  <c:v>21.743214868511458</c:v>
                </c:pt>
              </c:numCache>
            </c:numRef>
          </c:val>
        </c:ser>
        <c:gapWidth val="0"/>
        <c:overlap val="100"/>
        <c:axId val="283695360"/>
        <c:axId val="283709824"/>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AUX!$AB$456</c:f>
              <c:numCache>
                <c:formatCode>0.0</c:formatCode>
                <c:ptCount val="1"/>
                <c:pt idx="0">
                  <c:v>109.78802032541188</c:v>
                </c:pt>
              </c:numCache>
            </c:numRef>
          </c:xVal>
          <c:yVal>
            <c:numRef>
              <c:f>AUX!$AB$434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AUX!$AB$458</c:f>
              <c:numCache>
                <c:formatCode>0.0</c:formatCode>
                <c:ptCount val="1"/>
                <c:pt idx="0">
                  <c:v>109.78802032541188</c:v>
                </c:pt>
              </c:numCache>
            </c:numRef>
          </c:xVal>
          <c:yVal>
            <c:numRef>
              <c:f>AUX!$AB$434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AUX!$AB$457</c:f>
              <c:numCache>
                <c:formatCode>0.0</c:formatCode>
                <c:ptCount val="1"/>
                <c:pt idx="0">
                  <c:v>68.702695801392821</c:v>
                </c:pt>
              </c:numCache>
            </c:numRef>
          </c:xVal>
          <c:yVal>
            <c:numRef>
              <c:f>AUX!$AB$434</c:f>
              <c:numCache>
                <c:formatCode>General</c:formatCode>
                <c:ptCount val="1"/>
                <c:pt idx="0">
                  <c:v>0</c:v>
                </c:pt>
              </c:numCache>
            </c:numRef>
          </c:yVal>
        </c:ser>
        <c:axId val="283712896"/>
        <c:axId val="283711360"/>
      </c:scatterChart>
      <c:catAx>
        <c:axId val="283695360"/>
        <c:scaling>
          <c:orientation val="minMax"/>
        </c:scaling>
        <c:delete val="1"/>
        <c:axPos val="l"/>
        <c:tickLblPos val="none"/>
        <c:crossAx val="283709824"/>
        <c:crosses val="autoZero"/>
        <c:auto val="1"/>
        <c:lblAlgn val="ctr"/>
        <c:lblOffset val="100"/>
      </c:catAx>
      <c:valAx>
        <c:axId val="283709824"/>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3695360"/>
        <c:crosses val="autoZero"/>
        <c:crossBetween val="between"/>
      </c:valAx>
      <c:valAx>
        <c:axId val="283711360"/>
        <c:scaling>
          <c:orientation val="minMax"/>
          <c:max val="0.5"/>
          <c:min val="-0.5"/>
        </c:scaling>
        <c:delete val="1"/>
        <c:axPos val="r"/>
        <c:numFmt formatCode="General" sourceLinked="1"/>
        <c:tickLblPos val="none"/>
        <c:crossAx val="283712896"/>
        <c:crosses val="max"/>
        <c:crossBetween val="midCat"/>
      </c:valAx>
      <c:valAx>
        <c:axId val="283712896"/>
        <c:scaling>
          <c:orientation val="minMax"/>
        </c:scaling>
        <c:delete val="1"/>
        <c:axPos val="b"/>
        <c:numFmt formatCode="0.0" sourceLinked="1"/>
        <c:tickLblPos val="none"/>
        <c:crossAx val="283711360"/>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8.8134920634920746E-2"/>
          <c:y val="4.6260498687663965E-2"/>
          <c:w val="0.89111344537815129"/>
          <c:h val="0.74588452380952375"/>
        </c:manualLayout>
      </c:layout>
      <c:lineChart>
        <c:grouping val="standard"/>
        <c:ser>
          <c:idx val="1"/>
          <c:order val="0"/>
          <c:tx>
            <c:strRef>
              <c:f>AUX!$A$57</c:f>
              <c:strCache>
                <c:ptCount val="1"/>
                <c:pt idx="0">
                  <c:v>Continente</c:v>
                </c:pt>
              </c:strCache>
            </c:strRef>
          </c:tx>
          <c:spPr>
            <a:ln w="19050">
              <a:solidFill>
                <a:srgbClr val="FF0000"/>
              </a:solidFill>
            </a:ln>
          </c:spPr>
          <c:marker>
            <c:symbol val="none"/>
          </c:marker>
          <c:cat>
            <c:numRef>
              <c:f>AUX!$B$56:$W$56</c:f>
              <c:numCache>
                <c:formatCode>General</c:formatCode>
                <c:ptCount val="2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numCache>
            </c:numRef>
          </c:cat>
          <c:val>
            <c:numRef>
              <c:f>AUX!$B$57:$W$57</c:f>
              <c:numCache>
                <c:formatCode>0.0</c:formatCode>
                <c:ptCount val="22"/>
                <c:pt idx="0">
                  <c:v>21.002520351147631</c:v>
                </c:pt>
                <c:pt idx="1">
                  <c:v>21.361454816612781</c:v>
                </c:pt>
                <c:pt idx="2">
                  <c:v>21.727291736746885</c:v>
                </c:pt>
                <c:pt idx="3">
                  <c:v>22.09786663994818</c:v>
                </c:pt>
                <c:pt idx="4">
                  <c:v>22.496027962400884</c:v>
                </c:pt>
                <c:pt idx="5">
                  <c:v>22.864802899250847</c:v>
                </c:pt>
                <c:pt idx="6">
                  <c:v>23.281722326487397</c:v>
                </c:pt>
                <c:pt idx="7">
                  <c:v>23.645446706807451</c:v>
                </c:pt>
                <c:pt idx="8">
                  <c:v>23.943924596091094</c:v>
                </c:pt>
                <c:pt idx="9">
                  <c:v>24.433045153175424</c:v>
                </c:pt>
                <c:pt idx="10">
                  <c:v>24.849498041828422</c:v>
                </c:pt>
                <c:pt idx="11">
                  <c:v>25.189681176405625</c:v>
                </c:pt>
                <c:pt idx="12">
                  <c:v>25.553787928881768</c:v>
                </c:pt>
                <c:pt idx="13">
                  <c:v>26.017219119403883</c:v>
                </c:pt>
                <c:pt idx="14">
                  <c:v>26.331565505111428</c:v>
                </c:pt>
                <c:pt idx="15">
                  <c:v>26.643094695678155</c:v>
                </c:pt>
                <c:pt idx="16">
                  <c:v>26.945209706789331</c:v>
                </c:pt>
                <c:pt idx="17">
                  <c:v>27.388748508247879</c:v>
                </c:pt>
                <c:pt idx="18">
                  <c:v>27.904490901204731</c:v>
                </c:pt>
                <c:pt idx="19">
                  <c:v>28.692003564717481</c:v>
                </c:pt>
                <c:pt idx="20">
                  <c:v>29.320412443519029</c:v>
                </c:pt>
                <c:pt idx="21">
                  <c:v>29.953087379850245</c:v>
                </c:pt>
              </c:numCache>
            </c:numRef>
          </c:val>
        </c:ser>
        <c:ser>
          <c:idx val="2"/>
          <c:order val="1"/>
          <c:tx>
            <c:strRef>
              <c:f>AUX!$A$58</c:f>
              <c:strCache>
                <c:ptCount val="1"/>
                <c:pt idx="0">
                  <c:v>0</c:v>
                </c:pt>
              </c:strCache>
            </c:strRef>
          </c:tx>
          <c:spPr>
            <a:ln w="19050">
              <a:solidFill>
                <a:schemeClr val="tx2"/>
              </a:solidFill>
            </a:ln>
          </c:spPr>
          <c:marker>
            <c:symbol val="none"/>
          </c:marker>
          <c:cat>
            <c:numRef>
              <c:f>AUX!$B$56:$W$56</c:f>
              <c:numCache>
                <c:formatCode>General</c:formatCode>
                <c:ptCount val="2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numCache>
            </c:numRef>
          </c:cat>
          <c:val>
            <c:numRef>
              <c:f>AUX!$B$58:$W$58</c:f>
              <c:numCache>
                <c:formatCode>0.0</c:formatCode>
                <c:ptCount val="22"/>
              </c:numCache>
            </c:numRef>
          </c:val>
        </c:ser>
        <c:ser>
          <c:idx val="3"/>
          <c:order val="2"/>
          <c:tx>
            <c:strRef>
              <c:f>AUX!$A$59</c:f>
              <c:strCache>
                <c:ptCount val="1"/>
                <c:pt idx="0">
                  <c:v>0</c:v>
                </c:pt>
              </c:strCache>
            </c:strRef>
          </c:tx>
          <c:spPr>
            <a:ln w="38100">
              <a:solidFill>
                <a:srgbClr val="008080"/>
              </a:solidFill>
            </a:ln>
          </c:spPr>
          <c:marker>
            <c:symbol val="none"/>
          </c:marker>
          <c:cat>
            <c:numRef>
              <c:f>AUX!$B$56:$W$56</c:f>
              <c:numCache>
                <c:formatCode>General</c:formatCode>
                <c:ptCount val="2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numCache>
            </c:numRef>
          </c:cat>
          <c:val>
            <c:numRef>
              <c:f>AUX!$B$59:$W$59</c:f>
              <c:numCache>
                <c:formatCode>0.0</c:formatCode>
                <c:ptCount val="22"/>
              </c:numCache>
            </c:numRef>
          </c:val>
        </c:ser>
        <c:marker val="1"/>
        <c:axId val="280492672"/>
        <c:axId val="280555904"/>
      </c:lineChart>
      <c:catAx>
        <c:axId val="280492672"/>
        <c:scaling>
          <c:orientation val="minMax"/>
        </c:scaling>
        <c:axPos val="b"/>
        <c:numFmt formatCode="General" sourceLinked="1"/>
        <c:tickLblPos val="nextTo"/>
        <c:txPr>
          <a:bodyPr/>
          <a:lstStyle/>
          <a:p>
            <a:pPr>
              <a:defRPr lang="en-US" sz="800">
                <a:latin typeface="Arial" pitchFamily="34" charset="0"/>
                <a:cs typeface="Arial" pitchFamily="34" charset="0"/>
              </a:defRPr>
            </a:pPr>
            <a:endParaRPr lang="pt-PT"/>
          </a:p>
        </c:txPr>
        <c:crossAx val="280555904"/>
        <c:crosses val="autoZero"/>
        <c:auto val="1"/>
        <c:lblAlgn val="ctr"/>
        <c:lblOffset val="100"/>
        <c:tickLblSkip val="2"/>
        <c:tickMarkSkip val="1"/>
      </c:catAx>
      <c:valAx>
        <c:axId val="280555904"/>
        <c:scaling>
          <c:orientation val="minMax"/>
        </c:scaling>
        <c:axPos val="l"/>
        <c:majorGridlines>
          <c:spPr>
            <a:ln w="3175">
              <a:solidFill>
                <a:schemeClr val="bg1">
                  <a:lumMod val="95000"/>
                </a:schemeClr>
              </a:solidFill>
            </a:ln>
          </c:spPr>
        </c:majorGridlines>
        <c:numFmt formatCode="0" sourceLinked="0"/>
        <c:tickLblPos val="nextTo"/>
        <c:txPr>
          <a:bodyPr/>
          <a:lstStyle/>
          <a:p>
            <a:pPr>
              <a:defRPr lang="en-US" sz="900">
                <a:latin typeface="Arial" pitchFamily="34" charset="0"/>
                <a:cs typeface="Arial" pitchFamily="34" charset="0"/>
              </a:defRPr>
            </a:pPr>
            <a:endParaRPr lang="pt-PT"/>
          </a:p>
        </c:txPr>
        <c:crossAx val="280492672"/>
        <c:crosses val="autoZero"/>
        <c:crossBetween val="between"/>
      </c:valAx>
    </c:plotArea>
    <c:legend>
      <c:legendPos val="b"/>
      <c:layout>
        <c:manualLayout>
          <c:xMode val="edge"/>
          <c:yMode val="edge"/>
          <c:x val="1.4246498599439775E-2"/>
          <c:y val="0.92349344506743858"/>
          <c:w val="0.97150676937441638"/>
          <c:h val="5.9385594042128037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AUX!$AC$434</c:f>
              <c:strCache>
                <c:ptCount val="1"/>
                <c:pt idx="0">
                  <c:v>Mortalidade Neonatal</c:v>
                </c:pt>
              </c:strCache>
            </c:strRef>
          </c:cat>
          <c:val>
            <c:numRef>
              <c:f>AUX!$AC$460</c:f>
              <c:numCache>
                <c:formatCode>0.0</c:formatCode>
                <c:ptCount val="1"/>
                <c:pt idx="0">
                  <c:v>56.095487049581763</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AUX!$AC$434</c:f>
              <c:strCache>
                <c:ptCount val="1"/>
                <c:pt idx="0">
                  <c:v>Mortalidade Neonatal</c:v>
                </c:pt>
              </c:strCache>
            </c:strRef>
          </c:cat>
          <c:val>
            <c:numRef>
              <c:f>AUX!$AC$461</c:f>
              <c:numCache>
                <c:formatCode>0.0</c:formatCode>
                <c:ptCount val="1"/>
                <c:pt idx="0">
                  <c:v>9.5297759726100395</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AUX!$AC$434</c:f>
              <c:strCache>
                <c:ptCount val="1"/>
                <c:pt idx="0">
                  <c:v>Mortalidade Neonatal</c:v>
                </c:pt>
              </c:strCache>
            </c:strRef>
          </c:cat>
          <c:val>
            <c:numRef>
              <c:f>AUX!$AC$462</c:f>
              <c:numCache>
                <c:formatCode>0.0</c:formatCode>
                <c:ptCount val="1"/>
                <c:pt idx="0">
                  <c:v>7.7984209677109817</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AUX!$AC$434</c:f>
              <c:strCache>
                <c:ptCount val="1"/>
                <c:pt idx="0">
                  <c:v>Mortalidade Neonatal</c:v>
                </c:pt>
              </c:strCache>
            </c:strRef>
          </c:cat>
          <c:val>
            <c:numRef>
              <c:f>AUX!$AC$464</c:f>
              <c:numCache>
                <c:formatCode>0.0</c:formatCode>
                <c:ptCount val="1"/>
                <c:pt idx="0">
                  <c:v>26.576316010097216</c:v>
                </c:pt>
              </c:numCache>
            </c:numRef>
          </c:val>
        </c:ser>
        <c:gapWidth val="0"/>
        <c:overlap val="100"/>
        <c:axId val="283744896"/>
        <c:axId val="283771648"/>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AUX!$AC$456</c:f>
              <c:numCache>
                <c:formatCode>0.0</c:formatCode>
                <c:ptCount val="1"/>
                <c:pt idx="0">
                  <c:v>109.11698618348713</c:v>
                </c:pt>
              </c:numCache>
            </c:numRef>
          </c:xVal>
          <c:yVal>
            <c:numRef>
              <c:f>AUX!$AC$434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AUX!$AC$458</c:f>
              <c:numCache>
                <c:formatCode>0.0</c:formatCode>
                <c:ptCount val="1"/>
                <c:pt idx="0">
                  <c:v>109.11698618348713</c:v>
                </c:pt>
              </c:numCache>
            </c:numRef>
          </c:xVal>
          <c:yVal>
            <c:numRef>
              <c:f>AUX!$AC$434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AUX!$AC$457</c:f>
              <c:numCache>
                <c:formatCode>0.0</c:formatCode>
                <c:ptCount val="1"/>
                <c:pt idx="0">
                  <c:v>61.714092058733563</c:v>
                </c:pt>
              </c:numCache>
            </c:numRef>
          </c:xVal>
          <c:yVal>
            <c:numRef>
              <c:f>AUX!$AC$434</c:f>
              <c:numCache>
                <c:formatCode>General</c:formatCode>
                <c:ptCount val="1"/>
                <c:pt idx="0">
                  <c:v>0</c:v>
                </c:pt>
              </c:numCache>
            </c:numRef>
          </c:yVal>
        </c:ser>
        <c:axId val="283774976"/>
        <c:axId val="283773184"/>
      </c:scatterChart>
      <c:catAx>
        <c:axId val="283744896"/>
        <c:scaling>
          <c:orientation val="minMax"/>
        </c:scaling>
        <c:delete val="1"/>
        <c:axPos val="l"/>
        <c:tickLblPos val="none"/>
        <c:crossAx val="283771648"/>
        <c:crosses val="autoZero"/>
        <c:auto val="1"/>
        <c:lblAlgn val="ctr"/>
        <c:lblOffset val="100"/>
      </c:catAx>
      <c:valAx>
        <c:axId val="283771648"/>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3744896"/>
        <c:crosses val="autoZero"/>
        <c:crossBetween val="between"/>
      </c:valAx>
      <c:valAx>
        <c:axId val="283773184"/>
        <c:scaling>
          <c:orientation val="minMax"/>
          <c:max val="0.5"/>
          <c:min val="-0.5"/>
        </c:scaling>
        <c:delete val="1"/>
        <c:axPos val="r"/>
        <c:numFmt formatCode="General" sourceLinked="1"/>
        <c:tickLblPos val="none"/>
        <c:crossAx val="283774976"/>
        <c:crosses val="max"/>
        <c:crossBetween val="midCat"/>
      </c:valAx>
      <c:valAx>
        <c:axId val="283774976"/>
        <c:scaling>
          <c:orientation val="minMax"/>
        </c:scaling>
        <c:delete val="1"/>
        <c:axPos val="b"/>
        <c:numFmt formatCode="0.0" sourceLinked="1"/>
        <c:tickLblPos val="none"/>
        <c:crossAx val="283773184"/>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AUX!$AD$434</c:f>
              <c:strCache>
                <c:ptCount val="1"/>
                <c:pt idx="0">
                  <c:v>Mortalidade Perinatal</c:v>
                </c:pt>
              </c:strCache>
            </c:strRef>
          </c:cat>
          <c:val>
            <c:numRef>
              <c:f>AUX!$AD$460</c:f>
              <c:numCache>
                <c:formatCode>0.0</c:formatCode>
                <c:ptCount val="1"/>
                <c:pt idx="0">
                  <c:v>50.010944725429454</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AUX!$AD$434</c:f>
              <c:strCache>
                <c:ptCount val="1"/>
                <c:pt idx="0">
                  <c:v>Mortalidade Perinatal</c:v>
                </c:pt>
              </c:strCache>
            </c:strRef>
          </c:cat>
          <c:val>
            <c:numRef>
              <c:f>AUX!$AD$461</c:f>
              <c:numCache>
                <c:formatCode>0.0</c:formatCode>
                <c:ptCount val="1"/>
                <c:pt idx="0">
                  <c:v>8.8722150868650047</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AUX!$AD$434</c:f>
              <c:strCache>
                <c:ptCount val="1"/>
                <c:pt idx="0">
                  <c:v>Mortalidade Perinatal</c:v>
                </c:pt>
              </c:strCache>
            </c:strRef>
          </c:cat>
          <c:val>
            <c:numRef>
              <c:f>AUX!$AD$462</c:f>
              <c:numCache>
                <c:formatCode>0.0</c:formatCode>
                <c:ptCount val="1"/>
                <c:pt idx="0">
                  <c:v>14.792799245168759</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AUX!$AD$434</c:f>
              <c:strCache>
                <c:ptCount val="1"/>
                <c:pt idx="0">
                  <c:v>Mortalidade Perinatal</c:v>
                </c:pt>
              </c:strCache>
            </c:strRef>
          </c:cat>
          <c:val>
            <c:numRef>
              <c:f>AUX!$AD$464</c:f>
              <c:numCache>
                <c:formatCode>0.0</c:formatCode>
                <c:ptCount val="1"/>
                <c:pt idx="0">
                  <c:v>26.324040942536783</c:v>
                </c:pt>
              </c:numCache>
            </c:numRef>
          </c:val>
        </c:ser>
        <c:gapWidth val="0"/>
        <c:overlap val="100"/>
        <c:axId val="283902336"/>
        <c:axId val="283904256"/>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AUX!$AD$456</c:f>
              <c:numCache>
                <c:formatCode>0.0</c:formatCode>
                <c:ptCount val="1"/>
                <c:pt idx="0">
                  <c:v>117.77603758809711</c:v>
                </c:pt>
              </c:numCache>
            </c:numRef>
          </c:xVal>
          <c:yVal>
            <c:numRef>
              <c:f>AUX!$AD$434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AUX!$AD$458</c:f>
              <c:numCache>
                <c:formatCode>0.0</c:formatCode>
                <c:ptCount val="1"/>
                <c:pt idx="0">
                  <c:v>117.77603758809711</c:v>
                </c:pt>
              </c:numCache>
            </c:numRef>
          </c:xVal>
          <c:yVal>
            <c:numRef>
              <c:f>AUX!$AD$434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AUX!$AD$457</c:f>
              <c:numCache>
                <c:formatCode>0.0</c:formatCode>
                <c:ptCount val="1"/>
                <c:pt idx="0">
                  <c:v>58.766645135106025</c:v>
                </c:pt>
              </c:numCache>
            </c:numRef>
          </c:xVal>
          <c:yVal>
            <c:numRef>
              <c:f>AUX!$AD$434</c:f>
              <c:numCache>
                <c:formatCode>General</c:formatCode>
                <c:ptCount val="1"/>
                <c:pt idx="0">
                  <c:v>0</c:v>
                </c:pt>
              </c:numCache>
            </c:numRef>
          </c:yVal>
        </c:ser>
        <c:axId val="283915776"/>
        <c:axId val="283914240"/>
      </c:scatterChart>
      <c:catAx>
        <c:axId val="283902336"/>
        <c:scaling>
          <c:orientation val="minMax"/>
        </c:scaling>
        <c:delete val="1"/>
        <c:axPos val="l"/>
        <c:tickLblPos val="none"/>
        <c:crossAx val="283904256"/>
        <c:crosses val="autoZero"/>
        <c:auto val="1"/>
        <c:lblAlgn val="ctr"/>
        <c:lblOffset val="100"/>
      </c:catAx>
      <c:valAx>
        <c:axId val="283904256"/>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3902336"/>
        <c:crosses val="autoZero"/>
        <c:crossBetween val="between"/>
      </c:valAx>
      <c:valAx>
        <c:axId val="283914240"/>
        <c:scaling>
          <c:orientation val="minMax"/>
          <c:max val="0.5"/>
          <c:min val="-0.5"/>
        </c:scaling>
        <c:delete val="1"/>
        <c:axPos val="r"/>
        <c:numFmt formatCode="General" sourceLinked="1"/>
        <c:tickLblPos val="none"/>
        <c:crossAx val="283915776"/>
        <c:crosses val="max"/>
        <c:crossBetween val="midCat"/>
      </c:valAx>
      <c:valAx>
        <c:axId val="283915776"/>
        <c:scaling>
          <c:orientation val="minMax"/>
        </c:scaling>
        <c:delete val="1"/>
        <c:axPos val="b"/>
        <c:numFmt formatCode="0.0" sourceLinked="1"/>
        <c:tickLblPos val="none"/>
        <c:crossAx val="283914240"/>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AUX!$AE$434</c:f>
              <c:strCache>
                <c:ptCount val="1"/>
                <c:pt idx="0">
                  <c:v>TMTBM_H</c:v>
                </c:pt>
              </c:strCache>
            </c:strRef>
          </c:cat>
          <c:val>
            <c:numRef>
              <c:f>AUX!$AE$460</c:f>
              <c:numCache>
                <c:formatCode>0.0</c:formatCode>
                <c:ptCount val="1"/>
                <c:pt idx="0">
                  <c:v>37.42979835469874</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AUX!$AE$434</c:f>
              <c:strCache>
                <c:ptCount val="1"/>
                <c:pt idx="0">
                  <c:v>TMTBM_H</c:v>
                </c:pt>
              </c:strCache>
            </c:strRef>
          </c:cat>
          <c:val>
            <c:numRef>
              <c:f>AUX!$AE$461</c:f>
              <c:numCache>
                <c:formatCode>0.0</c:formatCode>
                <c:ptCount val="1"/>
                <c:pt idx="0">
                  <c:v>12.217311844245998</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AUX!$AE$434</c:f>
              <c:strCache>
                <c:ptCount val="1"/>
                <c:pt idx="0">
                  <c:v>TMTBM_H</c:v>
                </c:pt>
              </c:strCache>
            </c:strRef>
          </c:cat>
          <c:val>
            <c:numRef>
              <c:f>AUX!$AE$462</c:f>
              <c:numCache>
                <c:formatCode>0.0</c:formatCode>
                <c:ptCount val="1"/>
                <c:pt idx="0">
                  <c:v>22.526984295158677</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AUX!$AE$434</c:f>
              <c:strCache>
                <c:ptCount val="1"/>
                <c:pt idx="0">
                  <c:v>TMTBM_H</c:v>
                </c:pt>
              </c:strCache>
            </c:strRef>
          </c:cat>
          <c:val>
            <c:numRef>
              <c:f>AUX!$AE$464</c:f>
              <c:numCache>
                <c:formatCode>0.0</c:formatCode>
                <c:ptCount val="1"/>
                <c:pt idx="0">
                  <c:v>27.825905505896586</c:v>
                </c:pt>
              </c:numCache>
            </c:numRef>
          </c:val>
        </c:ser>
        <c:gapWidth val="0"/>
        <c:overlap val="100"/>
        <c:axId val="283957120"/>
        <c:axId val="283979776"/>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AUX!$AE$456</c:f>
              <c:numCache>
                <c:formatCode>0.0</c:formatCode>
                <c:ptCount val="1"/>
                <c:pt idx="0">
                  <c:v>135.72306514307701</c:v>
                </c:pt>
              </c:numCache>
            </c:numRef>
          </c:xVal>
          <c:yVal>
            <c:numRef>
              <c:f>AUX!$AE$434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AUX!$AE$458</c:f>
              <c:numCache>
                <c:formatCode>0.0</c:formatCode>
                <c:ptCount val="1"/>
                <c:pt idx="0">
                  <c:v>135.72306514307701</c:v>
                </c:pt>
              </c:numCache>
            </c:numRef>
          </c:xVal>
          <c:yVal>
            <c:numRef>
              <c:f>AUX!$AE$434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AUX!$AE$457</c:f>
              <c:numCache>
                <c:formatCode>0.0</c:formatCode>
                <c:ptCount val="1"/>
                <c:pt idx="0">
                  <c:v>51.063210137865653</c:v>
                </c:pt>
              </c:numCache>
            </c:numRef>
          </c:xVal>
          <c:yVal>
            <c:numRef>
              <c:f>AUX!$AE$434</c:f>
              <c:numCache>
                <c:formatCode>General</c:formatCode>
                <c:ptCount val="1"/>
                <c:pt idx="0">
                  <c:v>0</c:v>
                </c:pt>
              </c:numCache>
            </c:numRef>
          </c:yVal>
        </c:ser>
        <c:axId val="283982848"/>
        <c:axId val="283981312"/>
      </c:scatterChart>
      <c:catAx>
        <c:axId val="283957120"/>
        <c:scaling>
          <c:orientation val="minMax"/>
        </c:scaling>
        <c:delete val="1"/>
        <c:axPos val="l"/>
        <c:tickLblPos val="none"/>
        <c:crossAx val="283979776"/>
        <c:crosses val="autoZero"/>
        <c:auto val="1"/>
        <c:lblAlgn val="ctr"/>
        <c:lblOffset val="100"/>
      </c:catAx>
      <c:valAx>
        <c:axId val="283979776"/>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3957120"/>
        <c:crosses val="autoZero"/>
        <c:crossBetween val="between"/>
      </c:valAx>
      <c:valAx>
        <c:axId val="283981312"/>
        <c:scaling>
          <c:orientation val="minMax"/>
          <c:max val="0.5"/>
          <c:min val="-0.5"/>
        </c:scaling>
        <c:delete val="1"/>
        <c:axPos val="r"/>
        <c:numFmt formatCode="General" sourceLinked="1"/>
        <c:tickLblPos val="none"/>
        <c:crossAx val="283982848"/>
        <c:crosses val="max"/>
        <c:crossBetween val="midCat"/>
      </c:valAx>
      <c:valAx>
        <c:axId val="283982848"/>
        <c:scaling>
          <c:orientation val="minMax"/>
        </c:scaling>
        <c:delete val="1"/>
        <c:axPos val="b"/>
        <c:numFmt formatCode="0.0" sourceLinked="1"/>
        <c:tickLblPos val="none"/>
        <c:crossAx val="283981312"/>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AUX!$AF$434</c:f>
              <c:strCache>
                <c:ptCount val="1"/>
                <c:pt idx="0">
                  <c:v>TMTBP_M</c:v>
                </c:pt>
              </c:strCache>
            </c:strRef>
          </c:cat>
          <c:val>
            <c:numRef>
              <c:f>AUX!$AF$460</c:f>
              <c:numCache>
                <c:formatCode>0.0</c:formatCode>
                <c:ptCount val="1"/>
                <c:pt idx="0">
                  <c:v>50.926974177213488</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AUX!$AF$434</c:f>
              <c:strCache>
                <c:ptCount val="1"/>
                <c:pt idx="0">
                  <c:v>TMTBP_M</c:v>
                </c:pt>
              </c:strCache>
            </c:strRef>
          </c:cat>
          <c:val>
            <c:numRef>
              <c:f>AUX!$AF$461</c:f>
              <c:numCache>
                <c:formatCode>0.0</c:formatCode>
                <c:ptCount val="1"/>
                <c:pt idx="0">
                  <c:v>17.030009270700411</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AUX!$AF$434</c:f>
              <c:strCache>
                <c:ptCount val="1"/>
                <c:pt idx="0">
                  <c:v>TMTBP_M</c:v>
                </c:pt>
              </c:strCache>
            </c:strRef>
          </c:cat>
          <c:val>
            <c:numRef>
              <c:f>AUX!$AF$462</c:f>
              <c:numCache>
                <c:formatCode>0.0</c:formatCode>
                <c:ptCount val="1"/>
                <c:pt idx="0">
                  <c:v>11.670482651564868</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AUX!$AF$434</c:f>
              <c:strCache>
                <c:ptCount val="1"/>
                <c:pt idx="0">
                  <c:v>TMTBP_M</c:v>
                </c:pt>
              </c:strCache>
            </c:strRef>
          </c:cat>
          <c:val>
            <c:numRef>
              <c:f>AUX!$AF$464</c:f>
              <c:numCache>
                <c:formatCode>0.0</c:formatCode>
                <c:ptCount val="1"/>
                <c:pt idx="0">
                  <c:v>20.372533900521233</c:v>
                </c:pt>
              </c:numCache>
            </c:numRef>
          </c:val>
        </c:ser>
        <c:gapWidth val="0"/>
        <c:overlap val="100"/>
        <c:axId val="284016000"/>
        <c:axId val="284030464"/>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AUX!$AF$456</c:f>
              <c:numCache>
                <c:formatCode>0.0</c:formatCode>
                <c:ptCount val="1"/>
                <c:pt idx="0">
                  <c:v>125.43359700858359</c:v>
                </c:pt>
              </c:numCache>
            </c:numRef>
          </c:xVal>
          <c:yVal>
            <c:numRef>
              <c:f>AUX!$AF$434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AUX!$AF$458</c:f>
              <c:numCache>
                <c:formatCode>0.0</c:formatCode>
                <c:ptCount val="1"/>
                <c:pt idx="0">
                  <c:v>125.43359700858359</c:v>
                </c:pt>
              </c:numCache>
            </c:numRef>
          </c:xVal>
          <c:yVal>
            <c:numRef>
              <c:f>AUX!$AF$434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AUX!$AF$457</c:f>
              <c:numCache>
                <c:formatCode>0.0</c:formatCode>
                <c:ptCount val="1"/>
                <c:pt idx="0">
                  <c:v>60.243880317796297</c:v>
                </c:pt>
              </c:numCache>
            </c:numRef>
          </c:xVal>
          <c:yVal>
            <c:numRef>
              <c:f>AUX!$AF$434</c:f>
              <c:numCache>
                <c:formatCode>General</c:formatCode>
                <c:ptCount val="1"/>
                <c:pt idx="0">
                  <c:v>0</c:v>
                </c:pt>
              </c:numCache>
            </c:numRef>
          </c:yVal>
        </c:ser>
        <c:axId val="284041984"/>
        <c:axId val="284032000"/>
      </c:scatterChart>
      <c:catAx>
        <c:axId val="284016000"/>
        <c:scaling>
          <c:orientation val="minMax"/>
        </c:scaling>
        <c:delete val="1"/>
        <c:axPos val="l"/>
        <c:tickLblPos val="none"/>
        <c:crossAx val="284030464"/>
        <c:crosses val="autoZero"/>
        <c:auto val="1"/>
        <c:lblAlgn val="ctr"/>
        <c:lblOffset val="100"/>
      </c:catAx>
      <c:valAx>
        <c:axId val="284030464"/>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4016000"/>
        <c:crosses val="autoZero"/>
        <c:crossBetween val="between"/>
      </c:valAx>
      <c:valAx>
        <c:axId val="284032000"/>
        <c:scaling>
          <c:orientation val="minMax"/>
          <c:max val="0.5"/>
          <c:min val="-0.5"/>
        </c:scaling>
        <c:delete val="1"/>
        <c:axPos val="r"/>
        <c:numFmt formatCode="General" sourceLinked="1"/>
        <c:tickLblPos val="none"/>
        <c:crossAx val="284041984"/>
        <c:crosses val="max"/>
        <c:crossBetween val="midCat"/>
      </c:valAx>
      <c:valAx>
        <c:axId val="284041984"/>
        <c:scaling>
          <c:orientation val="minMax"/>
        </c:scaling>
        <c:delete val="1"/>
        <c:axPos val="b"/>
        <c:numFmt formatCode="0.0" sourceLinked="1"/>
        <c:tickLblPos val="none"/>
        <c:crossAx val="284032000"/>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AUX!$AG$434</c:f>
              <c:strCache>
                <c:ptCount val="1"/>
                <c:pt idx="0">
                  <c:v>TME_H</c:v>
                </c:pt>
              </c:strCache>
            </c:strRef>
          </c:cat>
          <c:val>
            <c:numRef>
              <c:f>AUX!$AG$460</c:f>
              <c:numCache>
                <c:formatCode>0.0</c:formatCode>
                <c:ptCount val="1"/>
                <c:pt idx="0">
                  <c:v>68.249670466139349</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AUX!$AG$434</c:f>
              <c:strCache>
                <c:ptCount val="1"/>
                <c:pt idx="0">
                  <c:v>TME_H</c:v>
                </c:pt>
              </c:strCache>
            </c:strRef>
          </c:cat>
          <c:val>
            <c:numRef>
              <c:f>AUX!$AG$461</c:f>
              <c:numCache>
                <c:formatCode>0.0</c:formatCode>
                <c:ptCount val="1"/>
                <c:pt idx="0">
                  <c:v>8.223960703463149</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AUX!$AG$434</c:f>
              <c:strCache>
                <c:ptCount val="1"/>
                <c:pt idx="0">
                  <c:v>TME_H</c:v>
                </c:pt>
              </c:strCache>
            </c:strRef>
          </c:cat>
          <c:val>
            <c:numRef>
              <c:f>AUX!$AG$462</c:f>
              <c:numCache>
                <c:formatCode>0.0</c:formatCode>
                <c:ptCount val="1"/>
                <c:pt idx="0">
                  <c:v>13.231088448240683</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AUX!$AG$434</c:f>
              <c:strCache>
                <c:ptCount val="1"/>
                <c:pt idx="0">
                  <c:v>TME_H</c:v>
                </c:pt>
              </c:strCache>
            </c:strRef>
          </c:cat>
          <c:val>
            <c:numRef>
              <c:f>AUX!$AG$464</c:f>
              <c:numCache>
                <c:formatCode>0.0</c:formatCode>
                <c:ptCount val="1"/>
                <c:pt idx="0">
                  <c:v>10.295280382156818</c:v>
                </c:pt>
              </c:numCache>
            </c:numRef>
          </c:val>
        </c:ser>
        <c:gapWidth val="0"/>
        <c:overlap val="100"/>
        <c:axId val="284091520"/>
        <c:axId val="284093440"/>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AUX!$AG$456</c:f>
              <c:numCache>
                <c:formatCode>0.0</c:formatCode>
                <c:ptCount val="1"/>
                <c:pt idx="0">
                  <c:v>134.25361631617784</c:v>
                </c:pt>
              </c:numCache>
            </c:numRef>
          </c:xVal>
          <c:yVal>
            <c:numRef>
              <c:f>AUX!$AG$434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AUX!$AG$458</c:f>
              <c:numCache>
                <c:formatCode>0.0</c:formatCode>
                <c:ptCount val="1"/>
                <c:pt idx="0">
                  <c:v>134.25361631617784</c:v>
                </c:pt>
              </c:numCache>
            </c:numRef>
          </c:xVal>
          <c:yVal>
            <c:numRef>
              <c:f>AUX!$AG$434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AUX!$AG$457</c:f>
              <c:numCache>
                <c:formatCode>0.0</c:formatCode>
                <c:ptCount val="1"/>
                <c:pt idx="0">
                  <c:v>76.716056524653837</c:v>
                </c:pt>
              </c:numCache>
            </c:numRef>
          </c:xVal>
          <c:yVal>
            <c:numRef>
              <c:f>AUX!$AG$434</c:f>
              <c:numCache>
                <c:formatCode>General</c:formatCode>
                <c:ptCount val="1"/>
                <c:pt idx="0">
                  <c:v>0</c:v>
                </c:pt>
              </c:numCache>
            </c:numRef>
          </c:yVal>
        </c:ser>
        <c:axId val="284170496"/>
        <c:axId val="284168960"/>
      </c:scatterChart>
      <c:catAx>
        <c:axId val="284091520"/>
        <c:scaling>
          <c:orientation val="minMax"/>
        </c:scaling>
        <c:delete val="1"/>
        <c:axPos val="l"/>
        <c:tickLblPos val="none"/>
        <c:crossAx val="284093440"/>
        <c:crosses val="autoZero"/>
        <c:auto val="1"/>
        <c:lblAlgn val="ctr"/>
        <c:lblOffset val="100"/>
      </c:catAx>
      <c:valAx>
        <c:axId val="284093440"/>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4091520"/>
        <c:crosses val="autoZero"/>
        <c:crossBetween val="between"/>
      </c:valAx>
      <c:valAx>
        <c:axId val="284168960"/>
        <c:scaling>
          <c:orientation val="minMax"/>
          <c:max val="0.5"/>
          <c:min val="-0.5"/>
        </c:scaling>
        <c:delete val="1"/>
        <c:axPos val="r"/>
        <c:numFmt formatCode="General" sourceLinked="1"/>
        <c:tickLblPos val="none"/>
        <c:crossAx val="284170496"/>
        <c:crosses val="max"/>
        <c:crossBetween val="midCat"/>
      </c:valAx>
      <c:valAx>
        <c:axId val="284170496"/>
        <c:scaling>
          <c:orientation val="minMax"/>
        </c:scaling>
        <c:delete val="1"/>
        <c:axPos val="b"/>
        <c:numFmt formatCode="0.0" sourceLinked="1"/>
        <c:tickLblPos val="none"/>
        <c:crossAx val="284168960"/>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AUX!$AH$434</c:f>
              <c:strCache>
                <c:ptCount val="1"/>
                <c:pt idx="0">
                  <c:v>TME_M</c:v>
                </c:pt>
              </c:strCache>
            </c:strRef>
          </c:cat>
          <c:val>
            <c:numRef>
              <c:f>AUX!$AH$460</c:f>
              <c:numCache>
                <c:formatCode>0.0</c:formatCode>
                <c:ptCount val="1"/>
                <c:pt idx="0">
                  <c:v>61.848198330420367</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AUX!$AH$434</c:f>
              <c:strCache>
                <c:ptCount val="1"/>
                <c:pt idx="0">
                  <c:v>TME_M</c:v>
                </c:pt>
              </c:strCache>
            </c:strRef>
          </c:cat>
          <c:val>
            <c:numRef>
              <c:f>AUX!$AH$461</c:f>
              <c:numCache>
                <c:formatCode>0.0</c:formatCode>
                <c:ptCount val="1"/>
                <c:pt idx="0">
                  <c:v>14.077113709046948</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AUX!$AH$434</c:f>
              <c:strCache>
                <c:ptCount val="1"/>
                <c:pt idx="0">
                  <c:v>TME_M</c:v>
                </c:pt>
              </c:strCache>
            </c:strRef>
          </c:cat>
          <c:val>
            <c:numRef>
              <c:f>AUX!$AH$462</c:f>
              <c:numCache>
                <c:formatCode>0.0</c:formatCode>
                <c:ptCount val="1"/>
                <c:pt idx="0">
                  <c:v>12.261216930911615</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AUX!$AH$434</c:f>
              <c:strCache>
                <c:ptCount val="1"/>
                <c:pt idx="0">
                  <c:v>TME_M</c:v>
                </c:pt>
              </c:strCache>
            </c:strRef>
          </c:cat>
          <c:val>
            <c:numRef>
              <c:f>AUX!$AH$464</c:f>
              <c:numCache>
                <c:formatCode>0.0</c:formatCode>
                <c:ptCount val="1"/>
                <c:pt idx="0">
                  <c:v>11.81347102962107</c:v>
                </c:pt>
              </c:numCache>
            </c:numRef>
          </c:val>
        </c:ser>
        <c:gapWidth val="0"/>
        <c:overlap val="100"/>
        <c:axId val="284228224"/>
        <c:axId val="284234496"/>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AUX!$AH$456</c:f>
              <c:numCache>
                <c:formatCode>0.0</c:formatCode>
                <c:ptCount val="1"/>
                <c:pt idx="0">
                  <c:v>125.03162528091896</c:v>
                </c:pt>
              </c:numCache>
            </c:numRef>
          </c:xVal>
          <c:yVal>
            <c:numRef>
              <c:f>AUX!$AH$434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AUX!$AH$458</c:f>
              <c:numCache>
                <c:formatCode>0.0</c:formatCode>
                <c:ptCount val="1"/>
                <c:pt idx="0">
                  <c:v>125.03162528091896</c:v>
                </c:pt>
              </c:numCache>
            </c:numRef>
          </c:xVal>
          <c:yVal>
            <c:numRef>
              <c:f>AUX!$AH$434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AUX!$AH$457</c:f>
              <c:numCache>
                <c:formatCode>0.0</c:formatCode>
                <c:ptCount val="1"/>
                <c:pt idx="0">
                  <c:v>74.408771250757994</c:v>
                </c:pt>
              </c:numCache>
            </c:numRef>
          </c:xVal>
          <c:yVal>
            <c:numRef>
              <c:f>AUX!$AH$434</c:f>
              <c:numCache>
                <c:formatCode>General</c:formatCode>
                <c:ptCount val="1"/>
                <c:pt idx="0">
                  <c:v>0</c:v>
                </c:pt>
              </c:numCache>
            </c:numRef>
          </c:yVal>
        </c:ser>
        <c:axId val="284237824"/>
        <c:axId val="284236032"/>
      </c:scatterChart>
      <c:catAx>
        <c:axId val="284228224"/>
        <c:scaling>
          <c:orientation val="minMax"/>
        </c:scaling>
        <c:delete val="1"/>
        <c:axPos val="l"/>
        <c:tickLblPos val="none"/>
        <c:crossAx val="284234496"/>
        <c:crosses val="autoZero"/>
        <c:auto val="1"/>
        <c:lblAlgn val="ctr"/>
        <c:lblOffset val="100"/>
      </c:catAx>
      <c:valAx>
        <c:axId val="284234496"/>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4228224"/>
        <c:crosses val="autoZero"/>
        <c:crossBetween val="between"/>
      </c:valAx>
      <c:valAx>
        <c:axId val="284236032"/>
        <c:scaling>
          <c:orientation val="minMax"/>
          <c:max val="0.5"/>
          <c:min val="-0.5"/>
        </c:scaling>
        <c:delete val="1"/>
        <c:axPos val="r"/>
        <c:numFmt formatCode="General" sourceLinked="1"/>
        <c:tickLblPos val="none"/>
        <c:crossAx val="284237824"/>
        <c:crosses val="max"/>
        <c:crossBetween val="midCat"/>
      </c:valAx>
      <c:valAx>
        <c:axId val="284237824"/>
        <c:scaling>
          <c:orientation val="minMax"/>
        </c:scaling>
        <c:delete val="1"/>
        <c:axPos val="b"/>
        <c:numFmt formatCode="0.0" sourceLinked="1"/>
        <c:tickLblPos val="none"/>
        <c:crossAx val="284236032"/>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AUX!$AI$434</c:f>
              <c:strCache>
                <c:ptCount val="1"/>
                <c:pt idx="0">
                  <c:v>TMMF</c:v>
                </c:pt>
              </c:strCache>
            </c:strRef>
          </c:cat>
          <c:val>
            <c:numRef>
              <c:f>AUX!$AI$460</c:f>
              <c:numCache>
                <c:formatCode>0.0</c:formatCode>
                <c:ptCount val="1"/>
                <c:pt idx="0">
                  <c:v>38.247137892429564</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AUX!$AI$434</c:f>
              <c:strCache>
                <c:ptCount val="1"/>
                <c:pt idx="0">
                  <c:v>TMMF</c:v>
                </c:pt>
              </c:strCache>
            </c:strRef>
          </c:cat>
          <c:val>
            <c:numRef>
              <c:f>AUX!$AI$461</c:f>
              <c:numCache>
                <c:formatCode>0.0</c:formatCode>
                <c:ptCount val="1"/>
                <c:pt idx="0">
                  <c:v>13.826339826088173</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AUX!$AI$434</c:f>
              <c:strCache>
                <c:ptCount val="1"/>
                <c:pt idx="0">
                  <c:v>TMMF</c:v>
                </c:pt>
              </c:strCache>
            </c:strRef>
          </c:cat>
          <c:val>
            <c:numRef>
              <c:f>AUX!$AI$462</c:f>
              <c:numCache>
                <c:formatCode>0.0</c:formatCode>
                <c:ptCount val="1"/>
                <c:pt idx="0">
                  <c:v>15.422622060776817</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AUX!$AI$434</c:f>
              <c:strCache>
                <c:ptCount val="1"/>
                <c:pt idx="0">
                  <c:v>TMMF</c:v>
                </c:pt>
              </c:strCache>
            </c:strRef>
          </c:cat>
          <c:val>
            <c:numRef>
              <c:f>AUX!$AI$464</c:f>
              <c:numCache>
                <c:formatCode>0.0</c:formatCode>
                <c:ptCount val="1"/>
                <c:pt idx="0">
                  <c:v>32.503900220705447</c:v>
                </c:pt>
              </c:numCache>
            </c:numRef>
          </c:val>
        </c:ser>
        <c:gapWidth val="0"/>
        <c:overlap val="100"/>
        <c:axId val="284287360"/>
        <c:axId val="284289280"/>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AUX!$AI$456</c:f>
              <c:numCache>
                <c:formatCode>0.0</c:formatCode>
                <c:ptCount val="1"/>
                <c:pt idx="0">
                  <c:v>143.84441508518046</c:v>
                </c:pt>
              </c:numCache>
            </c:numRef>
          </c:xVal>
          <c:yVal>
            <c:numRef>
              <c:f>AUX!$AI$434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AUX!$AI$458</c:f>
              <c:numCache>
                <c:formatCode>0.0</c:formatCode>
                <c:ptCount val="1"/>
                <c:pt idx="0">
                  <c:v>143.84441508518046</c:v>
                </c:pt>
              </c:numCache>
            </c:numRef>
          </c:xVal>
          <c:yVal>
            <c:numRef>
              <c:f>AUX!$AI$434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AUX!$AI$457</c:f>
              <c:numCache>
                <c:formatCode>0.0</c:formatCode>
                <c:ptCount val="1"/>
                <c:pt idx="0">
                  <c:v>48.846899934380062</c:v>
                </c:pt>
              </c:numCache>
            </c:numRef>
          </c:xVal>
          <c:yVal>
            <c:numRef>
              <c:f>AUX!$AI$434</c:f>
              <c:numCache>
                <c:formatCode>General</c:formatCode>
                <c:ptCount val="1"/>
                <c:pt idx="0">
                  <c:v>0</c:v>
                </c:pt>
              </c:numCache>
            </c:numRef>
          </c:yVal>
        </c:ser>
        <c:axId val="284296704"/>
        <c:axId val="284295168"/>
      </c:scatterChart>
      <c:catAx>
        <c:axId val="284287360"/>
        <c:scaling>
          <c:orientation val="minMax"/>
        </c:scaling>
        <c:delete val="1"/>
        <c:axPos val="l"/>
        <c:tickLblPos val="none"/>
        <c:crossAx val="284289280"/>
        <c:crosses val="autoZero"/>
        <c:auto val="1"/>
        <c:lblAlgn val="ctr"/>
        <c:lblOffset val="100"/>
      </c:catAx>
      <c:valAx>
        <c:axId val="284289280"/>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4287360"/>
        <c:crosses val="autoZero"/>
        <c:crossBetween val="between"/>
      </c:valAx>
      <c:valAx>
        <c:axId val="284295168"/>
        <c:scaling>
          <c:orientation val="minMax"/>
          <c:max val="0.5"/>
          <c:min val="-0.5"/>
        </c:scaling>
        <c:delete val="1"/>
        <c:axPos val="r"/>
        <c:numFmt formatCode="General" sourceLinked="1"/>
        <c:tickLblPos val="none"/>
        <c:crossAx val="284296704"/>
        <c:crosses val="max"/>
        <c:crossBetween val="midCat"/>
      </c:valAx>
      <c:valAx>
        <c:axId val="284296704"/>
        <c:scaling>
          <c:orientation val="minMax"/>
        </c:scaling>
        <c:delete val="1"/>
        <c:axPos val="b"/>
        <c:numFmt formatCode="0.0" sourceLinked="1"/>
        <c:tickLblPos val="none"/>
        <c:crossAx val="284295168"/>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AUX!$AJ$434</c:f>
              <c:strCache>
                <c:ptCount val="1"/>
                <c:pt idx="0">
                  <c:v>DIC_H</c:v>
                </c:pt>
              </c:strCache>
            </c:strRef>
          </c:cat>
          <c:val>
            <c:numRef>
              <c:f>AUX!$AJ$460</c:f>
              <c:numCache>
                <c:formatCode>0.0</c:formatCode>
                <c:ptCount val="1"/>
                <c:pt idx="0">
                  <c:v>52.001311718163869</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AUX!$AJ$434</c:f>
              <c:strCache>
                <c:ptCount val="1"/>
                <c:pt idx="0">
                  <c:v>DIC_H</c:v>
                </c:pt>
              </c:strCache>
            </c:strRef>
          </c:cat>
          <c:val>
            <c:numRef>
              <c:f>AUX!$AJ$461</c:f>
              <c:numCache>
                <c:formatCode>0.0</c:formatCode>
                <c:ptCount val="1"/>
                <c:pt idx="0">
                  <c:v>25.817535164691499</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AUX!$AJ$434</c:f>
              <c:strCache>
                <c:ptCount val="1"/>
                <c:pt idx="0">
                  <c:v>DIC_H</c:v>
                </c:pt>
              </c:strCache>
            </c:strRef>
          </c:cat>
          <c:val>
            <c:numRef>
              <c:f>AUX!$AJ$462</c:f>
              <c:numCache>
                <c:formatCode>0.0</c:formatCode>
                <c:ptCount val="1"/>
                <c:pt idx="0">
                  <c:v>9.9375407340756681</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AUX!$AJ$434</c:f>
              <c:strCache>
                <c:ptCount val="1"/>
                <c:pt idx="0">
                  <c:v>DIC_H</c:v>
                </c:pt>
              </c:strCache>
            </c:strRef>
          </c:cat>
          <c:val>
            <c:numRef>
              <c:f>AUX!$AJ$464</c:f>
              <c:numCache>
                <c:formatCode>0.0</c:formatCode>
                <c:ptCount val="1"/>
                <c:pt idx="0">
                  <c:v>12.243612383068964</c:v>
                </c:pt>
              </c:numCache>
            </c:numRef>
          </c:val>
        </c:ser>
        <c:gapWidth val="0"/>
        <c:overlap val="100"/>
        <c:axId val="284358528"/>
        <c:axId val="284377088"/>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AUX!$AJ$456</c:f>
              <c:numCache>
                <c:formatCode>0.0</c:formatCode>
                <c:ptCount val="1"/>
                <c:pt idx="0">
                  <c:v>117.42803132154258</c:v>
                </c:pt>
              </c:numCache>
            </c:numRef>
          </c:xVal>
          <c:yVal>
            <c:numRef>
              <c:f>AUX!$AJ$434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AUX!$AJ$458</c:f>
              <c:numCache>
                <c:formatCode>0.0</c:formatCode>
                <c:ptCount val="1"/>
                <c:pt idx="0">
                  <c:v>117.42803132154258</c:v>
                </c:pt>
              </c:numCache>
            </c:numRef>
          </c:xVal>
          <c:yVal>
            <c:numRef>
              <c:f>AUX!$AJ$434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AUX!$AJ$457</c:f>
              <c:numCache>
                <c:formatCode>0.0</c:formatCode>
                <c:ptCount val="1"/>
                <c:pt idx="0">
                  <c:v>68.669255348398593</c:v>
                </c:pt>
              </c:numCache>
            </c:numRef>
          </c:xVal>
          <c:yVal>
            <c:numRef>
              <c:f>AUX!$AJ$434</c:f>
              <c:numCache>
                <c:formatCode>General</c:formatCode>
                <c:ptCount val="1"/>
                <c:pt idx="0">
                  <c:v>0</c:v>
                </c:pt>
              </c:numCache>
            </c:numRef>
          </c:yVal>
        </c:ser>
        <c:axId val="284380160"/>
        <c:axId val="284378624"/>
      </c:scatterChart>
      <c:catAx>
        <c:axId val="284358528"/>
        <c:scaling>
          <c:orientation val="minMax"/>
        </c:scaling>
        <c:delete val="1"/>
        <c:axPos val="l"/>
        <c:tickLblPos val="none"/>
        <c:crossAx val="284377088"/>
        <c:crosses val="autoZero"/>
        <c:auto val="1"/>
        <c:lblAlgn val="ctr"/>
        <c:lblOffset val="100"/>
      </c:catAx>
      <c:valAx>
        <c:axId val="284377088"/>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4358528"/>
        <c:crosses val="autoZero"/>
        <c:crossBetween val="between"/>
      </c:valAx>
      <c:valAx>
        <c:axId val="284378624"/>
        <c:scaling>
          <c:orientation val="minMax"/>
          <c:max val="0.5"/>
          <c:min val="-0.5"/>
        </c:scaling>
        <c:delete val="1"/>
        <c:axPos val="r"/>
        <c:numFmt formatCode="General" sourceLinked="1"/>
        <c:tickLblPos val="none"/>
        <c:crossAx val="284380160"/>
        <c:crosses val="max"/>
        <c:crossBetween val="midCat"/>
      </c:valAx>
      <c:valAx>
        <c:axId val="284380160"/>
        <c:scaling>
          <c:orientation val="minMax"/>
        </c:scaling>
        <c:delete val="1"/>
        <c:axPos val="b"/>
        <c:numFmt formatCode="0.0" sourceLinked="1"/>
        <c:tickLblPos val="none"/>
        <c:crossAx val="284378624"/>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AUX!$AK$434</c:f>
              <c:strCache>
                <c:ptCount val="1"/>
                <c:pt idx="0">
                  <c:v>DIC_M</c:v>
                </c:pt>
              </c:strCache>
            </c:strRef>
          </c:cat>
          <c:val>
            <c:numRef>
              <c:f>AUX!$AK$460</c:f>
              <c:numCache>
                <c:formatCode>0.0</c:formatCode>
                <c:ptCount val="1"/>
                <c:pt idx="0">
                  <c:v>48.117124450814359</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AUX!$AK$434</c:f>
              <c:strCache>
                <c:ptCount val="1"/>
                <c:pt idx="0">
                  <c:v>DIC_M</c:v>
                </c:pt>
              </c:strCache>
            </c:strRef>
          </c:cat>
          <c:val>
            <c:numRef>
              <c:f>AUX!$AK$461</c:f>
              <c:numCache>
                <c:formatCode>0.0</c:formatCode>
                <c:ptCount val="1"/>
                <c:pt idx="0">
                  <c:v>22.377335685727459</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AUX!$AK$434</c:f>
              <c:strCache>
                <c:ptCount val="1"/>
                <c:pt idx="0">
                  <c:v>DIC_M</c:v>
                </c:pt>
              </c:strCache>
            </c:strRef>
          </c:cat>
          <c:val>
            <c:numRef>
              <c:f>AUX!$AK$462</c:f>
              <c:numCache>
                <c:formatCode>0.0</c:formatCode>
                <c:ptCount val="1"/>
                <c:pt idx="0">
                  <c:v>12.609825997484407</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AUX!$AK$434</c:f>
              <c:strCache>
                <c:ptCount val="1"/>
                <c:pt idx="0">
                  <c:v>DIC_M</c:v>
                </c:pt>
              </c:strCache>
            </c:strRef>
          </c:cat>
          <c:val>
            <c:numRef>
              <c:f>AUX!$AK$464</c:f>
              <c:numCache>
                <c:formatCode>0.0</c:formatCode>
                <c:ptCount val="1"/>
                <c:pt idx="0">
                  <c:v>16.895713865973775</c:v>
                </c:pt>
              </c:numCache>
            </c:numRef>
          </c:val>
        </c:ser>
        <c:gapWidth val="0"/>
        <c:overlap val="100"/>
        <c:axId val="284427008"/>
        <c:axId val="284428928"/>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AUX!$AK$456</c:f>
              <c:numCache>
                <c:formatCode>0.0</c:formatCode>
                <c:ptCount val="1"/>
                <c:pt idx="0">
                  <c:v>117.70220625338548</c:v>
                </c:pt>
              </c:numCache>
            </c:numRef>
          </c:xVal>
          <c:yVal>
            <c:numRef>
              <c:f>AUX!$AK$434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AUX!$AK$458</c:f>
              <c:numCache>
                <c:formatCode>0.0</c:formatCode>
                <c:ptCount val="1"/>
                <c:pt idx="0">
                  <c:v>117.70220625338548</c:v>
                </c:pt>
              </c:numCache>
            </c:numRef>
          </c:xVal>
          <c:yVal>
            <c:numRef>
              <c:f>AUX!$AK$434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AUX!$AK$457</c:f>
              <c:numCache>
                <c:formatCode>0.0</c:formatCode>
                <c:ptCount val="1"/>
                <c:pt idx="0">
                  <c:v>62.774703031979939</c:v>
                </c:pt>
              </c:numCache>
            </c:numRef>
          </c:xVal>
          <c:yVal>
            <c:numRef>
              <c:f>AUX!$AK$434</c:f>
              <c:numCache>
                <c:formatCode>General</c:formatCode>
                <c:ptCount val="1"/>
                <c:pt idx="0">
                  <c:v>0</c:v>
                </c:pt>
              </c:numCache>
            </c:numRef>
          </c:yVal>
        </c:ser>
        <c:axId val="284440448"/>
        <c:axId val="284438912"/>
      </c:scatterChart>
      <c:catAx>
        <c:axId val="284427008"/>
        <c:scaling>
          <c:orientation val="minMax"/>
        </c:scaling>
        <c:delete val="1"/>
        <c:axPos val="l"/>
        <c:tickLblPos val="none"/>
        <c:crossAx val="284428928"/>
        <c:crosses val="autoZero"/>
        <c:auto val="1"/>
        <c:lblAlgn val="ctr"/>
        <c:lblOffset val="100"/>
      </c:catAx>
      <c:valAx>
        <c:axId val="284428928"/>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4427008"/>
        <c:crosses val="autoZero"/>
        <c:crossBetween val="between"/>
      </c:valAx>
      <c:valAx>
        <c:axId val="284438912"/>
        <c:scaling>
          <c:orientation val="minMax"/>
          <c:max val="0.5"/>
          <c:min val="-0.5"/>
        </c:scaling>
        <c:delete val="1"/>
        <c:axPos val="r"/>
        <c:numFmt formatCode="General" sourceLinked="1"/>
        <c:tickLblPos val="none"/>
        <c:crossAx val="284440448"/>
        <c:crosses val="max"/>
        <c:crossBetween val="midCat"/>
      </c:valAx>
      <c:valAx>
        <c:axId val="284440448"/>
        <c:scaling>
          <c:orientation val="minMax"/>
        </c:scaling>
        <c:delete val="1"/>
        <c:axPos val="b"/>
        <c:numFmt formatCode="0.0" sourceLinked="1"/>
        <c:tickLblPos val="none"/>
        <c:crossAx val="284438912"/>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AUX!$AL$434</c:f>
              <c:strCache>
                <c:ptCount val="1"/>
                <c:pt idx="0">
                  <c:v>DCer_H</c:v>
                </c:pt>
              </c:strCache>
            </c:strRef>
          </c:cat>
          <c:val>
            <c:numRef>
              <c:f>AUX!$AL$460</c:f>
              <c:numCache>
                <c:formatCode>0.0</c:formatCode>
                <c:ptCount val="1"/>
                <c:pt idx="0">
                  <c:v>55.025314036616088</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AUX!$AL$434</c:f>
              <c:strCache>
                <c:ptCount val="1"/>
                <c:pt idx="0">
                  <c:v>DCer_H</c:v>
                </c:pt>
              </c:strCache>
            </c:strRef>
          </c:cat>
          <c:val>
            <c:numRef>
              <c:f>AUX!$AL$461</c:f>
              <c:numCache>
                <c:formatCode>0.0</c:formatCode>
                <c:ptCount val="1"/>
                <c:pt idx="0">
                  <c:v>9.7131867070194247</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AUX!$AL$434</c:f>
              <c:strCache>
                <c:ptCount val="1"/>
                <c:pt idx="0">
                  <c:v>DCer_H</c:v>
                </c:pt>
              </c:strCache>
            </c:strRef>
          </c:cat>
          <c:val>
            <c:numRef>
              <c:f>AUX!$AL$462</c:f>
              <c:numCache>
                <c:formatCode>0.0</c:formatCode>
                <c:ptCount val="1"/>
                <c:pt idx="0">
                  <c:v>8.2648248249980583</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AUX!$AL$434</c:f>
              <c:strCache>
                <c:ptCount val="1"/>
                <c:pt idx="0">
                  <c:v>DCer_H</c:v>
                </c:pt>
              </c:strCache>
            </c:strRef>
          </c:cat>
          <c:val>
            <c:numRef>
              <c:f>AUX!$AL$464</c:f>
              <c:numCache>
                <c:formatCode>0.0</c:formatCode>
                <c:ptCount val="1"/>
                <c:pt idx="0">
                  <c:v>26.996674431366429</c:v>
                </c:pt>
              </c:numCache>
            </c:numRef>
          </c:val>
        </c:ser>
        <c:gapWidth val="0"/>
        <c:overlap val="100"/>
        <c:axId val="284481792"/>
        <c:axId val="284488064"/>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AUX!$AL$456</c:f>
              <c:numCache>
                <c:formatCode>0.0</c:formatCode>
                <c:ptCount val="1"/>
                <c:pt idx="0">
                  <c:v>164.66711652594984</c:v>
                </c:pt>
              </c:numCache>
            </c:numRef>
          </c:xVal>
          <c:yVal>
            <c:numRef>
              <c:f>AUX!$AL$434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AUX!$AL$458</c:f>
              <c:numCache>
                <c:formatCode>0.0</c:formatCode>
                <c:ptCount val="1"/>
                <c:pt idx="0">
                  <c:v>164.66711652594984</c:v>
                </c:pt>
              </c:numCache>
            </c:numRef>
          </c:xVal>
          <c:yVal>
            <c:numRef>
              <c:f>AUX!$AL$434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AUX!$AL$457</c:f>
              <c:numCache>
                <c:formatCode>0.0</c:formatCode>
                <c:ptCount val="1"/>
                <c:pt idx="0">
                  <c:v>62.880341505175807</c:v>
                </c:pt>
              </c:numCache>
            </c:numRef>
          </c:xVal>
          <c:yVal>
            <c:numRef>
              <c:f>AUX!$AL$434</c:f>
              <c:numCache>
                <c:formatCode>General</c:formatCode>
                <c:ptCount val="1"/>
                <c:pt idx="0">
                  <c:v>0</c:v>
                </c:pt>
              </c:numCache>
            </c:numRef>
          </c:yVal>
        </c:ser>
        <c:axId val="284491136"/>
        <c:axId val="284489600"/>
      </c:scatterChart>
      <c:catAx>
        <c:axId val="284481792"/>
        <c:scaling>
          <c:orientation val="minMax"/>
        </c:scaling>
        <c:delete val="1"/>
        <c:axPos val="l"/>
        <c:tickLblPos val="none"/>
        <c:crossAx val="284488064"/>
        <c:crosses val="autoZero"/>
        <c:auto val="1"/>
        <c:lblAlgn val="ctr"/>
        <c:lblOffset val="100"/>
      </c:catAx>
      <c:valAx>
        <c:axId val="284488064"/>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4481792"/>
        <c:crosses val="autoZero"/>
        <c:crossBetween val="between"/>
      </c:valAx>
      <c:valAx>
        <c:axId val="284489600"/>
        <c:scaling>
          <c:orientation val="minMax"/>
          <c:max val="0.5"/>
          <c:min val="-0.5"/>
        </c:scaling>
        <c:delete val="1"/>
        <c:axPos val="r"/>
        <c:numFmt formatCode="General" sourceLinked="1"/>
        <c:tickLblPos val="none"/>
        <c:crossAx val="284491136"/>
        <c:crosses val="max"/>
        <c:crossBetween val="midCat"/>
      </c:valAx>
      <c:valAx>
        <c:axId val="284491136"/>
        <c:scaling>
          <c:orientation val="minMax"/>
        </c:scaling>
        <c:delete val="1"/>
        <c:axPos val="b"/>
        <c:numFmt formatCode="0.0" sourceLinked="1"/>
        <c:tickLblPos val="none"/>
        <c:crossAx val="284489600"/>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8.4382532956685491E-2"/>
          <c:y val="0.14249305555555591"/>
          <c:w val="0.90302142184557765"/>
          <c:h val="0.62795138888890001"/>
        </c:manualLayout>
      </c:layout>
      <c:lineChart>
        <c:grouping val="standard"/>
        <c:ser>
          <c:idx val="0"/>
          <c:order val="0"/>
          <c:tx>
            <c:strRef>
              <c:f>AUX!$A$75</c:f>
              <c:strCache>
                <c:ptCount val="1"/>
                <c:pt idx="0">
                  <c:v>Continente</c:v>
                </c:pt>
              </c:strCache>
            </c:strRef>
          </c:tx>
          <c:spPr>
            <a:ln w="19050">
              <a:solidFill>
                <a:srgbClr val="FF0000"/>
              </a:solidFill>
            </a:ln>
          </c:spPr>
          <c:marker>
            <c:symbol val="none"/>
          </c:marker>
          <c:cat>
            <c:numRef>
              <c:f>AUX!$B$74:$R$74</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AUX!$B$75:$R$75</c:f>
              <c:numCache>
                <c:formatCode>0.00</c:formatCode>
                <c:ptCount val="17"/>
                <c:pt idx="0">
                  <c:v>1.43273764133683</c:v>
                </c:pt>
                <c:pt idx="1">
                  <c:v>1.4611013039185572</c:v>
                </c:pt>
                <c:pt idx="2">
                  <c:v>1.4637021530801475</c:v>
                </c:pt>
                <c:pt idx="3">
                  <c:v>1.4938896550464988</c:v>
                </c:pt>
                <c:pt idx="4">
                  <c:v>1.5426097879157423</c:v>
                </c:pt>
                <c:pt idx="5">
                  <c:v>1.4442204917011185</c:v>
                </c:pt>
                <c:pt idx="6">
                  <c:v>1.4624444371409304</c:v>
                </c:pt>
                <c:pt idx="7">
                  <c:v>1.4351019148859052</c:v>
                </c:pt>
                <c:pt idx="8">
                  <c:v>1.402336090443824</c:v>
                </c:pt>
                <c:pt idx="9">
                  <c:v>1.4135648144842672</c:v>
                </c:pt>
                <c:pt idx="10">
                  <c:v>1.3742621168427569</c:v>
                </c:pt>
                <c:pt idx="11">
                  <c:v>1.3502316877831153</c:v>
                </c:pt>
                <c:pt idx="12">
                  <c:v>1.3827809255730685</c:v>
                </c:pt>
                <c:pt idx="13">
                  <c:v>1.347474588283234</c:v>
                </c:pt>
                <c:pt idx="14">
                  <c:v>1.3942369399420746</c:v>
                </c:pt>
                <c:pt idx="15">
                  <c:v>1.3498754066360792</c:v>
                </c:pt>
                <c:pt idx="16">
                  <c:v>1.2877062357186866</c:v>
                </c:pt>
              </c:numCache>
            </c:numRef>
          </c:val>
        </c:ser>
        <c:ser>
          <c:idx val="1"/>
          <c:order val="1"/>
          <c:tx>
            <c:strRef>
              <c:f>AUX!$A$76</c:f>
              <c:strCache>
                <c:ptCount val="1"/>
                <c:pt idx="0">
                  <c:v>0</c:v>
                </c:pt>
              </c:strCache>
            </c:strRef>
          </c:tx>
          <c:spPr>
            <a:ln w="19050">
              <a:solidFill>
                <a:schemeClr val="tx2">
                  <a:lumMod val="75000"/>
                </a:schemeClr>
              </a:solidFill>
            </a:ln>
          </c:spPr>
          <c:marker>
            <c:symbol val="none"/>
          </c:marker>
          <c:cat>
            <c:numRef>
              <c:f>AUX!$B$74:$R$74</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AUX!$B$76:$R$76</c:f>
              <c:numCache>
                <c:formatCode>0.00</c:formatCode>
                <c:ptCount val="17"/>
              </c:numCache>
            </c:numRef>
          </c:val>
        </c:ser>
        <c:ser>
          <c:idx val="2"/>
          <c:order val="2"/>
          <c:tx>
            <c:strRef>
              <c:f>AUX!$A$77</c:f>
              <c:strCache>
                <c:ptCount val="1"/>
                <c:pt idx="0">
                  <c:v>0</c:v>
                </c:pt>
              </c:strCache>
            </c:strRef>
          </c:tx>
          <c:spPr>
            <a:ln w="38100">
              <a:solidFill>
                <a:srgbClr val="008080"/>
              </a:solidFill>
            </a:ln>
          </c:spPr>
          <c:marker>
            <c:symbol val="none"/>
          </c:marker>
          <c:cat>
            <c:numRef>
              <c:f>AUX!$B$74:$R$74</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AUX!$B$77:$R$77</c:f>
              <c:numCache>
                <c:formatCode>0.00</c:formatCode>
                <c:ptCount val="17"/>
              </c:numCache>
            </c:numRef>
          </c:val>
        </c:ser>
        <c:marker val="1"/>
        <c:axId val="280672128"/>
        <c:axId val="280673664"/>
      </c:lineChart>
      <c:catAx>
        <c:axId val="280672128"/>
        <c:scaling>
          <c:orientation val="minMax"/>
        </c:scaling>
        <c:axPos val="b"/>
        <c:numFmt formatCode="General" sourceLinked="1"/>
        <c:tickLblPos val="nextTo"/>
        <c:txPr>
          <a:bodyPr/>
          <a:lstStyle/>
          <a:p>
            <a:pPr>
              <a:defRPr lang="en-US" sz="900">
                <a:latin typeface="Arial" pitchFamily="34" charset="0"/>
                <a:cs typeface="Arial" pitchFamily="34" charset="0"/>
              </a:defRPr>
            </a:pPr>
            <a:endParaRPr lang="pt-PT"/>
          </a:p>
        </c:txPr>
        <c:crossAx val="280673664"/>
        <c:crosses val="autoZero"/>
        <c:auto val="1"/>
        <c:lblAlgn val="ctr"/>
        <c:lblOffset val="100"/>
        <c:tickLblSkip val="2"/>
        <c:tickMarkSkip val="1"/>
      </c:catAx>
      <c:valAx>
        <c:axId val="280673664"/>
        <c:scaling>
          <c:orientation val="minMax"/>
          <c:max val="2"/>
          <c:min val="0"/>
        </c:scaling>
        <c:axPos val="l"/>
        <c:majorGridlines>
          <c:spPr>
            <a:ln w="3175">
              <a:solidFill>
                <a:schemeClr val="bg1">
                  <a:lumMod val="95000"/>
                </a:schemeClr>
              </a:solidFill>
            </a:ln>
          </c:spPr>
        </c:majorGridlines>
        <c:title>
          <c:tx>
            <c:rich>
              <a:bodyPr rot="0" vert="horz"/>
              <a:lstStyle/>
              <a:p>
                <a:pPr>
                  <a:defRPr lang="en-US" sz="900" b="0">
                    <a:latin typeface="Arial" pitchFamily="34" charset="0"/>
                    <a:cs typeface="Arial" pitchFamily="34" charset="0"/>
                  </a:defRPr>
                </a:pPr>
                <a:r>
                  <a:rPr lang="en-US" sz="900" b="0">
                    <a:latin typeface="Arial" pitchFamily="34" charset="0"/>
                    <a:cs typeface="Arial" pitchFamily="34" charset="0"/>
                  </a:rPr>
                  <a:t>ISF</a:t>
                </a:r>
              </a:p>
            </c:rich>
          </c:tx>
          <c:layout>
            <c:manualLayout>
              <c:xMode val="edge"/>
              <c:yMode val="edge"/>
              <c:x val="5.2175536881419234E-3"/>
              <c:y val="1.1797839506172863E-2"/>
            </c:manualLayout>
          </c:layout>
        </c:title>
        <c:numFmt formatCode="0.0" sourceLinked="0"/>
        <c:tickLblPos val="nextTo"/>
        <c:spPr>
          <a:ln>
            <a:solidFill>
              <a:schemeClr val="bg1">
                <a:lumMod val="85000"/>
              </a:schemeClr>
            </a:solidFill>
          </a:ln>
        </c:spPr>
        <c:txPr>
          <a:bodyPr/>
          <a:lstStyle/>
          <a:p>
            <a:pPr>
              <a:defRPr lang="en-US" sz="900">
                <a:latin typeface="Arial" pitchFamily="34" charset="0"/>
                <a:cs typeface="Arial" pitchFamily="34" charset="0"/>
              </a:defRPr>
            </a:pPr>
            <a:endParaRPr lang="pt-PT"/>
          </a:p>
        </c:txPr>
        <c:crossAx val="280672128"/>
        <c:crosses val="autoZero"/>
        <c:crossBetween val="between"/>
        <c:majorUnit val="0.5"/>
        <c:minorUnit val="0.1"/>
      </c:valAx>
    </c:plotArea>
    <c:legend>
      <c:legendPos val="b"/>
      <c:layout>
        <c:manualLayout>
          <c:xMode val="edge"/>
          <c:yMode val="edge"/>
          <c:x val="1.6211251167133525E-2"/>
          <c:y val="0.89670023148150735"/>
          <c:w val="0.96757749766573364"/>
          <c:h val="8.3701003086421227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w="3175">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AUX!$AM$434</c:f>
              <c:strCache>
                <c:ptCount val="1"/>
                <c:pt idx="0">
                  <c:v>DCer_M</c:v>
                </c:pt>
              </c:strCache>
            </c:strRef>
          </c:cat>
          <c:val>
            <c:numRef>
              <c:f>AUX!$AM$460</c:f>
              <c:numCache>
                <c:formatCode>0.0</c:formatCode>
                <c:ptCount val="1"/>
                <c:pt idx="0">
                  <c:v>54.260233599570142</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AUX!$AM$434</c:f>
              <c:strCache>
                <c:ptCount val="1"/>
                <c:pt idx="0">
                  <c:v>DCer_M</c:v>
                </c:pt>
              </c:strCache>
            </c:strRef>
          </c:cat>
          <c:val>
            <c:numRef>
              <c:f>AUX!$AM$461</c:f>
              <c:numCache>
                <c:formatCode>0.0</c:formatCode>
                <c:ptCount val="1"/>
                <c:pt idx="0">
                  <c:v>8.4090453404597696</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AUX!$AM$434</c:f>
              <c:strCache>
                <c:ptCount val="1"/>
                <c:pt idx="0">
                  <c:v>DCer_M</c:v>
                </c:pt>
              </c:strCache>
            </c:strRef>
          </c:cat>
          <c:val>
            <c:numRef>
              <c:f>AUX!$AM$462</c:f>
              <c:numCache>
                <c:formatCode>0.0</c:formatCode>
                <c:ptCount val="1"/>
                <c:pt idx="0">
                  <c:v>13.436407851227671</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AUX!$AM$434</c:f>
              <c:strCache>
                <c:ptCount val="1"/>
                <c:pt idx="0">
                  <c:v>DCer_M</c:v>
                </c:pt>
              </c:strCache>
            </c:strRef>
          </c:cat>
          <c:val>
            <c:numRef>
              <c:f>AUX!$AM$464</c:f>
              <c:numCache>
                <c:formatCode>0.0</c:formatCode>
                <c:ptCount val="1"/>
                <c:pt idx="0">
                  <c:v>23.894313208742417</c:v>
                </c:pt>
              </c:numCache>
            </c:numRef>
          </c:val>
        </c:ser>
        <c:gapWidth val="0"/>
        <c:overlap val="100"/>
        <c:axId val="284553216"/>
        <c:axId val="284555136"/>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AUX!$AM$456</c:f>
              <c:numCache>
                <c:formatCode>0.0</c:formatCode>
                <c:ptCount val="1"/>
                <c:pt idx="0">
                  <c:v>161.30252224403091</c:v>
                </c:pt>
              </c:numCache>
            </c:numRef>
          </c:xVal>
          <c:yVal>
            <c:numRef>
              <c:f>AUX!$AM$434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AUX!$AM$458</c:f>
              <c:numCache>
                <c:formatCode>0.0</c:formatCode>
                <c:ptCount val="1"/>
                <c:pt idx="0">
                  <c:v>161.30252224403091</c:v>
                </c:pt>
              </c:numCache>
            </c:numRef>
          </c:xVal>
          <c:yVal>
            <c:numRef>
              <c:f>AUX!$AM$434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AUX!$AM$457</c:f>
              <c:numCache>
                <c:formatCode>0.0</c:formatCode>
                <c:ptCount val="1"/>
                <c:pt idx="0">
                  <c:v>61.479241073642669</c:v>
                </c:pt>
              </c:numCache>
            </c:numRef>
          </c:xVal>
          <c:yVal>
            <c:numRef>
              <c:f>AUX!$AM$434</c:f>
              <c:numCache>
                <c:formatCode>General</c:formatCode>
                <c:ptCount val="1"/>
                <c:pt idx="0">
                  <c:v>0</c:v>
                </c:pt>
              </c:numCache>
            </c:numRef>
          </c:yVal>
        </c:ser>
        <c:axId val="284648576"/>
        <c:axId val="284556672"/>
      </c:scatterChart>
      <c:catAx>
        <c:axId val="284553216"/>
        <c:scaling>
          <c:orientation val="minMax"/>
        </c:scaling>
        <c:delete val="1"/>
        <c:axPos val="l"/>
        <c:tickLblPos val="none"/>
        <c:crossAx val="284555136"/>
        <c:crosses val="autoZero"/>
        <c:auto val="1"/>
        <c:lblAlgn val="ctr"/>
        <c:lblOffset val="100"/>
      </c:catAx>
      <c:valAx>
        <c:axId val="284555136"/>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4553216"/>
        <c:crosses val="autoZero"/>
        <c:crossBetween val="between"/>
      </c:valAx>
      <c:valAx>
        <c:axId val="284556672"/>
        <c:scaling>
          <c:orientation val="minMax"/>
          <c:max val="0.5"/>
          <c:min val="-0.5"/>
        </c:scaling>
        <c:delete val="1"/>
        <c:axPos val="r"/>
        <c:numFmt formatCode="General" sourceLinked="1"/>
        <c:tickLblPos val="none"/>
        <c:crossAx val="284648576"/>
        <c:crosses val="max"/>
        <c:crossBetween val="midCat"/>
      </c:valAx>
      <c:valAx>
        <c:axId val="284648576"/>
        <c:scaling>
          <c:orientation val="minMax"/>
        </c:scaling>
        <c:delete val="1"/>
        <c:axPos val="b"/>
        <c:numFmt formatCode="0.0" sourceLinked="1"/>
        <c:tickLblPos val="none"/>
        <c:crossAx val="284556672"/>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AUX!$AN$434</c:f>
              <c:strCache>
                <c:ptCount val="1"/>
                <c:pt idx="0">
                  <c:v>DCFC_H</c:v>
                </c:pt>
              </c:strCache>
            </c:strRef>
          </c:cat>
          <c:val>
            <c:numRef>
              <c:f>AUX!$AN$460</c:f>
              <c:numCache>
                <c:formatCode>0.0</c:formatCode>
                <c:ptCount val="1"/>
                <c:pt idx="0">
                  <c:v>73.653059770163125</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AUX!$AN$434</c:f>
              <c:strCache>
                <c:ptCount val="1"/>
                <c:pt idx="0">
                  <c:v>DCFC_H</c:v>
                </c:pt>
              </c:strCache>
            </c:strRef>
          </c:cat>
          <c:val>
            <c:numRef>
              <c:f>AUX!$AN$461</c:f>
              <c:numCache>
                <c:formatCode>0.0</c:formatCode>
                <c:ptCount val="1"/>
                <c:pt idx="0">
                  <c:v>9.8705000108845127</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AUX!$AN$434</c:f>
              <c:strCache>
                <c:ptCount val="1"/>
                <c:pt idx="0">
                  <c:v>DCFC_H</c:v>
                </c:pt>
              </c:strCache>
            </c:strRef>
          </c:cat>
          <c:val>
            <c:numRef>
              <c:f>AUX!$AN$462</c:f>
              <c:numCache>
                <c:formatCode>0.0</c:formatCode>
                <c:ptCount val="1"/>
                <c:pt idx="0">
                  <c:v>6.7640502727745684</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AUX!$AN$434</c:f>
              <c:strCache>
                <c:ptCount val="1"/>
                <c:pt idx="0">
                  <c:v>DCFC_H</c:v>
                </c:pt>
              </c:strCache>
            </c:strRef>
          </c:cat>
          <c:val>
            <c:numRef>
              <c:f>AUX!$AN$464</c:f>
              <c:numCache>
                <c:formatCode>0.0</c:formatCode>
                <c:ptCount val="1"/>
                <c:pt idx="0">
                  <c:v>9.7123899461777938</c:v>
                </c:pt>
              </c:numCache>
            </c:numRef>
          </c:val>
        </c:ser>
        <c:gapWidth val="0"/>
        <c:overlap val="100"/>
        <c:axId val="284685824"/>
        <c:axId val="284687744"/>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AUX!$AN$456</c:f>
              <c:numCache>
                <c:formatCode>0.0</c:formatCode>
                <c:ptCount val="1"/>
                <c:pt idx="0">
                  <c:v>119.09927641076654</c:v>
                </c:pt>
              </c:numCache>
            </c:numRef>
          </c:xVal>
          <c:yVal>
            <c:numRef>
              <c:f>AUX!$AN$434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AUX!$AN$458</c:f>
              <c:numCache>
                <c:formatCode>0.0</c:formatCode>
                <c:ptCount val="1"/>
                <c:pt idx="0">
                  <c:v>119.09927641076654</c:v>
                </c:pt>
              </c:numCache>
            </c:numRef>
          </c:xVal>
          <c:yVal>
            <c:numRef>
              <c:f>AUX!$AN$434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AUX!$AN$457</c:f>
              <c:numCache>
                <c:formatCode>0.0</c:formatCode>
                <c:ptCount val="1"/>
                <c:pt idx="0">
                  <c:v>80.925812926778519</c:v>
                </c:pt>
              </c:numCache>
            </c:numRef>
          </c:xVal>
          <c:yVal>
            <c:numRef>
              <c:f>AUX!$AN$434</c:f>
              <c:numCache>
                <c:formatCode>General</c:formatCode>
                <c:ptCount val="1"/>
                <c:pt idx="0">
                  <c:v>0</c:v>
                </c:pt>
              </c:numCache>
            </c:numRef>
          </c:yVal>
        </c:ser>
        <c:axId val="284711552"/>
        <c:axId val="284710016"/>
      </c:scatterChart>
      <c:catAx>
        <c:axId val="284685824"/>
        <c:scaling>
          <c:orientation val="minMax"/>
        </c:scaling>
        <c:delete val="1"/>
        <c:axPos val="l"/>
        <c:tickLblPos val="none"/>
        <c:crossAx val="284687744"/>
        <c:crosses val="autoZero"/>
        <c:auto val="1"/>
        <c:lblAlgn val="ctr"/>
        <c:lblOffset val="100"/>
      </c:catAx>
      <c:valAx>
        <c:axId val="284687744"/>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4685824"/>
        <c:crosses val="autoZero"/>
        <c:crossBetween val="between"/>
      </c:valAx>
      <c:valAx>
        <c:axId val="284710016"/>
        <c:scaling>
          <c:orientation val="minMax"/>
          <c:max val="0.5"/>
          <c:min val="-0.5"/>
        </c:scaling>
        <c:delete val="1"/>
        <c:axPos val="r"/>
        <c:numFmt formatCode="General" sourceLinked="1"/>
        <c:tickLblPos val="none"/>
        <c:crossAx val="284711552"/>
        <c:crosses val="max"/>
        <c:crossBetween val="midCat"/>
      </c:valAx>
      <c:valAx>
        <c:axId val="284711552"/>
        <c:scaling>
          <c:orientation val="minMax"/>
        </c:scaling>
        <c:delete val="1"/>
        <c:axPos val="b"/>
        <c:numFmt formatCode="0.0" sourceLinked="1"/>
        <c:tickLblPos val="none"/>
        <c:crossAx val="284710016"/>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AUX!$AO$434</c:f>
              <c:strCache>
                <c:ptCount val="1"/>
                <c:pt idx="0">
                  <c:v>DCFC_M</c:v>
                </c:pt>
              </c:strCache>
            </c:strRef>
          </c:cat>
          <c:val>
            <c:numRef>
              <c:f>AUX!$AO$460</c:f>
              <c:numCache>
                <c:formatCode>0.0</c:formatCode>
                <c:ptCount val="1"/>
                <c:pt idx="0">
                  <c:v>68.791603469485793</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AUX!$AO$434</c:f>
              <c:strCache>
                <c:ptCount val="1"/>
                <c:pt idx="0">
                  <c:v>DCFC_M</c:v>
                </c:pt>
              </c:strCache>
            </c:strRef>
          </c:cat>
          <c:val>
            <c:numRef>
              <c:f>AUX!$AO$461</c:f>
              <c:numCache>
                <c:formatCode>0.0</c:formatCode>
                <c:ptCount val="1"/>
                <c:pt idx="0">
                  <c:v>11.542466612153362</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AUX!$AO$434</c:f>
              <c:strCache>
                <c:ptCount val="1"/>
                <c:pt idx="0">
                  <c:v>DCFC_M</c:v>
                </c:pt>
              </c:strCache>
            </c:strRef>
          </c:cat>
          <c:val>
            <c:numRef>
              <c:f>AUX!$AO$462</c:f>
              <c:numCache>
                <c:formatCode>0.0</c:formatCode>
                <c:ptCount val="1"/>
                <c:pt idx="0">
                  <c:v>10.360873703087108</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AUX!$AO$434</c:f>
              <c:strCache>
                <c:ptCount val="1"/>
                <c:pt idx="0">
                  <c:v>DCFC_M</c:v>
                </c:pt>
              </c:strCache>
            </c:strRef>
          </c:cat>
          <c:val>
            <c:numRef>
              <c:f>AUX!$AO$464</c:f>
              <c:numCache>
                <c:formatCode>0.0</c:formatCode>
                <c:ptCount val="1"/>
                <c:pt idx="0">
                  <c:v>9.3050562152737371</c:v>
                </c:pt>
              </c:numCache>
            </c:numRef>
          </c:val>
        </c:ser>
        <c:gapWidth val="0"/>
        <c:overlap val="100"/>
        <c:axId val="284744704"/>
        <c:axId val="284763264"/>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AUX!$AO$456</c:f>
              <c:numCache>
                <c:formatCode>0.0</c:formatCode>
                <c:ptCount val="1"/>
                <c:pt idx="0">
                  <c:v>105.12901934240193</c:v>
                </c:pt>
              </c:numCache>
            </c:numRef>
          </c:xVal>
          <c:yVal>
            <c:numRef>
              <c:f>AUX!$AO$434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AUX!$AO$458</c:f>
              <c:numCache>
                <c:formatCode>0.0</c:formatCode>
                <c:ptCount val="1"/>
                <c:pt idx="0">
                  <c:v>105.12901934240193</c:v>
                </c:pt>
              </c:numCache>
            </c:numRef>
          </c:xVal>
          <c:yVal>
            <c:numRef>
              <c:f>AUX!$AO$434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AUX!$AO$457</c:f>
              <c:numCache>
                <c:formatCode>0.0</c:formatCode>
                <c:ptCount val="1"/>
                <c:pt idx="0">
                  <c:v>75.339436771757235</c:v>
                </c:pt>
              </c:numCache>
            </c:numRef>
          </c:xVal>
          <c:yVal>
            <c:numRef>
              <c:f>AUX!$AO$434</c:f>
              <c:numCache>
                <c:formatCode>General</c:formatCode>
                <c:ptCount val="1"/>
                <c:pt idx="0">
                  <c:v>0</c:v>
                </c:pt>
              </c:numCache>
            </c:numRef>
          </c:yVal>
        </c:ser>
        <c:axId val="284770688"/>
        <c:axId val="284764800"/>
      </c:scatterChart>
      <c:catAx>
        <c:axId val="284744704"/>
        <c:scaling>
          <c:orientation val="minMax"/>
        </c:scaling>
        <c:delete val="1"/>
        <c:axPos val="l"/>
        <c:tickLblPos val="none"/>
        <c:crossAx val="284763264"/>
        <c:crosses val="autoZero"/>
        <c:auto val="1"/>
        <c:lblAlgn val="ctr"/>
        <c:lblOffset val="100"/>
      </c:catAx>
      <c:valAx>
        <c:axId val="284763264"/>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4744704"/>
        <c:crosses val="autoZero"/>
        <c:crossBetween val="between"/>
      </c:valAx>
      <c:valAx>
        <c:axId val="284764800"/>
        <c:scaling>
          <c:orientation val="minMax"/>
          <c:max val="0.5"/>
          <c:min val="-0.5"/>
        </c:scaling>
        <c:delete val="1"/>
        <c:axPos val="r"/>
        <c:numFmt formatCode="General" sourceLinked="1"/>
        <c:tickLblPos val="none"/>
        <c:crossAx val="284770688"/>
        <c:crosses val="max"/>
        <c:crossBetween val="midCat"/>
      </c:valAx>
      <c:valAx>
        <c:axId val="284770688"/>
        <c:scaling>
          <c:orientation val="minMax"/>
        </c:scaling>
        <c:delete val="1"/>
        <c:axPos val="b"/>
        <c:numFmt formatCode="0.0" sourceLinked="1"/>
        <c:tickLblPos val="none"/>
        <c:crossAx val="284764800"/>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AUX!$AP$434</c:f>
              <c:strCache>
                <c:ptCount val="1"/>
                <c:pt idx="0">
                  <c:v>Atransp_H</c:v>
                </c:pt>
              </c:strCache>
            </c:strRef>
          </c:cat>
          <c:val>
            <c:numRef>
              <c:f>AUX!$AP$460</c:f>
              <c:numCache>
                <c:formatCode>0.0</c:formatCode>
                <c:ptCount val="1"/>
                <c:pt idx="0">
                  <c:v>50.199728121681616</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AUX!$AP$434</c:f>
              <c:strCache>
                <c:ptCount val="1"/>
                <c:pt idx="0">
                  <c:v>Atransp_H</c:v>
                </c:pt>
              </c:strCache>
            </c:strRef>
          </c:cat>
          <c:val>
            <c:numRef>
              <c:f>AUX!$AP$461</c:f>
              <c:numCache>
                <c:formatCode>0.0</c:formatCode>
                <c:ptCount val="1"/>
                <c:pt idx="0">
                  <c:v>13.986633987934681</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AUX!$AP$434</c:f>
              <c:strCache>
                <c:ptCount val="1"/>
                <c:pt idx="0">
                  <c:v>Atransp_H</c:v>
                </c:pt>
              </c:strCache>
            </c:strRef>
          </c:cat>
          <c:val>
            <c:numRef>
              <c:f>AUX!$AP$462</c:f>
              <c:numCache>
                <c:formatCode>0.0</c:formatCode>
                <c:ptCount val="1"/>
                <c:pt idx="0">
                  <c:v>18.087152097409017</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AUX!$AP$434</c:f>
              <c:strCache>
                <c:ptCount val="1"/>
                <c:pt idx="0">
                  <c:v>Atransp_H</c:v>
                </c:pt>
              </c:strCache>
            </c:strRef>
          </c:cat>
          <c:val>
            <c:numRef>
              <c:f>AUX!$AP$464</c:f>
              <c:numCache>
                <c:formatCode>0.0</c:formatCode>
                <c:ptCount val="1"/>
                <c:pt idx="0">
                  <c:v>17.726485792974685</c:v>
                </c:pt>
              </c:numCache>
            </c:numRef>
          </c:val>
        </c:ser>
        <c:gapWidth val="0"/>
        <c:overlap val="100"/>
        <c:axId val="284828416"/>
        <c:axId val="284830336"/>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AUX!$AP$456</c:f>
              <c:numCache>
                <c:formatCode>0.0</c:formatCode>
                <c:ptCount val="1"/>
                <c:pt idx="0">
                  <c:v>112.03881504917257</c:v>
                </c:pt>
              </c:numCache>
            </c:numRef>
          </c:xVal>
          <c:yVal>
            <c:numRef>
              <c:f>AUX!$AP$434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AUX!$AP$458</c:f>
              <c:numCache>
                <c:formatCode>0.0</c:formatCode>
                <c:ptCount val="1"/>
                <c:pt idx="0">
                  <c:v>112.03881504917257</c:v>
                </c:pt>
              </c:numCache>
            </c:numRef>
          </c:xVal>
          <c:yVal>
            <c:numRef>
              <c:f>AUX!$AP$434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AUX!$AP$457</c:f>
              <c:numCache>
                <c:formatCode>0.0</c:formatCode>
                <c:ptCount val="1"/>
                <c:pt idx="0">
                  <c:v>64.121954850210216</c:v>
                </c:pt>
              </c:numCache>
            </c:numRef>
          </c:xVal>
          <c:yVal>
            <c:numRef>
              <c:f>AUX!$AP$434</c:f>
              <c:numCache>
                <c:formatCode>General</c:formatCode>
                <c:ptCount val="1"/>
                <c:pt idx="0">
                  <c:v>0</c:v>
                </c:pt>
              </c:numCache>
            </c:numRef>
          </c:yVal>
        </c:ser>
        <c:axId val="284837760"/>
        <c:axId val="284836224"/>
      </c:scatterChart>
      <c:catAx>
        <c:axId val="284828416"/>
        <c:scaling>
          <c:orientation val="minMax"/>
        </c:scaling>
        <c:delete val="1"/>
        <c:axPos val="l"/>
        <c:tickLblPos val="none"/>
        <c:crossAx val="284830336"/>
        <c:crosses val="autoZero"/>
        <c:auto val="1"/>
        <c:lblAlgn val="ctr"/>
        <c:lblOffset val="100"/>
      </c:catAx>
      <c:valAx>
        <c:axId val="284830336"/>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4828416"/>
        <c:crosses val="autoZero"/>
        <c:crossBetween val="between"/>
      </c:valAx>
      <c:valAx>
        <c:axId val="284836224"/>
        <c:scaling>
          <c:orientation val="minMax"/>
          <c:max val="0.5"/>
          <c:min val="-0.5"/>
        </c:scaling>
        <c:delete val="1"/>
        <c:axPos val="r"/>
        <c:numFmt formatCode="General" sourceLinked="1"/>
        <c:tickLblPos val="none"/>
        <c:crossAx val="284837760"/>
        <c:crosses val="max"/>
        <c:crossBetween val="midCat"/>
      </c:valAx>
      <c:valAx>
        <c:axId val="284837760"/>
        <c:scaling>
          <c:orientation val="minMax"/>
        </c:scaling>
        <c:delete val="1"/>
        <c:axPos val="b"/>
        <c:numFmt formatCode="0.0" sourceLinked="1"/>
        <c:tickLblPos val="none"/>
        <c:crossAx val="284836224"/>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AUX!$AQ$434</c:f>
              <c:strCache>
                <c:ptCount val="1"/>
                <c:pt idx="0">
                  <c:v>Atransp_M</c:v>
                </c:pt>
              </c:strCache>
            </c:strRef>
          </c:cat>
          <c:val>
            <c:numRef>
              <c:f>AUX!$AQ$460</c:f>
              <c:numCache>
                <c:formatCode>0.0</c:formatCode>
                <c:ptCount val="1"/>
                <c:pt idx="0">
                  <c:v>65.348850616954493</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AUX!$AQ$434</c:f>
              <c:strCache>
                <c:ptCount val="1"/>
                <c:pt idx="0">
                  <c:v>Atransp_M</c:v>
                </c:pt>
              </c:strCache>
            </c:strRef>
          </c:cat>
          <c:val>
            <c:numRef>
              <c:f>AUX!$AQ$461</c:f>
              <c:numCache>
                <c:formatCode>0.0</c:formatCode>
                <c:ptCount val="1"/>
                <c:pt idx="0">
                  <c:v>11.88747995589631</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AUX!$AQ$434</c:f>
              <c:strCache>
                <c:ptCount val="1"/>
                <c:pt idx="0">
                  <c:v>Atransp_M</c:v>
                </c:pt>
              </c:strCache>
            </c:strRef>
          </c:cat>
          <c:val>
            <c:numRef>
              <c:f>AUX!$AQ$462</c:f>
              <c:numCache>
                <c:formatCode>0.0</c:formatCode>
                <c:ptCount val="1"/>
                <c:pt idx="0">
                  <c:v>11.466414859967699</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AUX!$AQ$434</c:f>
              <c:strCache>
                <c:ptCount val="1"/>
                <c:pt idx="0">
                  <c:v>Atransp_M</c:v>
                </c:pt>
              </c:strCache>
            </c:strRef>
          </c:cat>
          <c:val>
            <c:numRef>
              <c:f>AUX!$AQ$464</c:f>
              <c:numCache>
                <c:formatCode>0.0</c:formatCode>
                <c:ptCount val="1"/>
                <c:pt idx="0">
                  <c:v>11.297254567181497</c:v>
                </c:pt>
              </c:numCache>
            </c:numRef>
          </c:val>
        </c:ser>
        <c:gapWidth val="0"/>
        <c:overlap val="100"/>
        <c:axId val="284891392"/>
        <c:axId val="284901760"/>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AUX!$AQ$456</c:f>
              <c:numCache>
                <c:formatCode>0.0</c:formatCode>
                <c:ptCount val="1"/>
                <c:pt idx="0">
                  <c:v>105.74515150871373</c:v>
                </c:pt>
              </c:numCache>
            </c:numRef>
          </c:xVal>
          <c:yVal>
            <c:numRef>
              <c:f>AUX!$AQ$434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AUX!$AQ$458</c:f>
              <c:numCache>
                <c:formatCode>0.0</c:formatCode>
                <c:ptCount val="1"/>
                <c:pt idx="0">
                  <c:v>105.74515150871373</c:v>
                </c:pt>
              </c:numCache>
            </c:numRef>
          </c:xVal>
          <c:yVal>
            <c:numRef>
              <c:f>AUX!$AQ$434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AUX!$AQ$457</c:f>
              <c:numCache>
                <c:formatCode>0.0</c:formatCode>
                <c:ptCount val="1"/>
                <c:pt idx="0">
                  <c:v>75.382138915616594</c:v>
                </c:pt>
              </c:numCache>
            </c:numRef>
          </c:xVal>
          <c:yVal>
            <c:numRef>
              <c:f>AUX!$AQ$434</c:f>
              <c:numCache>
                <c:formatCode>General</c:formatCode>
                <c:ptCount val="1"/>
                <c:pt idx="0">
                  <c:v>0</c:v>
                </c:pt>
              </c:numCache>
            </c:numRef>
          </c:yVal>
        </c:ser>
        <c:axId val="284904832"/>
        <c:axId val="284903296"/>
      </c:scatterChart>
      <c:catAx>
        <c:axId val="284891392"/>
        <c:scaling>
          <c:orientation val="minMax"/>
        </c:scaling>
        <c:delete val="1"/>
        <c:axPos val="l"/>
        <c:tickLblPos val="none"/>
        <c:crossAx val="284901760"/>
        <c:crosses val="autoZero"/>
        <c:auto val="1"/>
        <c:lblAlgn val="ctr"/>
        <c:lblOffset val="100"/>
      </c:catAx>
      <c:valAx>
        <c:axId val="284901760"/>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4891392"/>
        <c:crosses val="autoZero"/>
        <c:crossBetween val="between"/>
      </c:valAx>
      <c:valAx>
        <c:axId val="284903296"/>
        <c:scaling>
          <c:orientation val="minMax"/>
          <c:max val="0.5"/>
          <c:min val="-0.5"/>
        </c:scaling>
        <c:delete val="1"/>
        <c:axPos val="r"/>
        <c:numFmt formatCode="General" sourceLinked="1"/>
        <c:tickLblPos val="none"/>
        <c:crossAx val="284904832"/>
        <c:crosses val="max"/>
        <c:crossBetween val="midCat"/>
      </c:valAx>
      <c:valAx>
        <c:axId val="284904832"/>
        <c:scaling>
          <c:orientation val="minMax"/>
        </c:scaling>
        <c:delete val="1"/>
        <c:axPos val="b"/>
        <c:numFmt formatCode="0.0" sourceLinked="1"/>
        <c:tickLblPos val="none"/>
        <c:crossAx val="284903296"/>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AUX!$AR$434</c:f>
              <c:strCache>
                <c:ptCount val="1"/>
                <c:pt idx="0">
                  <c:v>K86 ou K87</c:v>
                </c:pt>
              </c:strCache>
            </c:strRef>
          </c:cat>
          <c:val>
            <c:numRef>
              <c:f>AUX!$AR$460</c:f>
              <c:numCache>
                <c:formatCode>0.0</c:formatCode>
                <c:ptCount val="1"/>
                <c:pt idx="0">
                  <c:v>42.847548107000918</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AUX!$AR$434</c:f>
              <c:strCache>
                <c:ptCount val="1"/>
                <c:pt idx="0">
                  <c:v>K86 ou K87</c:v>
                </c:pt>
              </c:strCache>
            </c:strRef>
          </c:cat>
          <c:val>
            <c:numRef>
              <c:f>AUX!$AR$461</c:f>
              <c:numCache>
                <c:formatCode>0.0</c:formatCode>
                <c:ptCount val="1"/>
                <c:pt idx="0">
                  <c:v>18.867353049976835</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AUX!$AR$434</c:f>
              <c:strCache>
                <c:ptCount val="1"/>
                <c:pt idx="0">
                  <c:v>K86 ou K87</c:v>
                </c:pt>
              </c:strCache>
            </c:strRef>
          </c:cat>
          <c:val>
            <c:numRef>
              <c:f>AUX!$AR$462</c:f>
              <c:numCache>
                <c:formatCode>0.0</c:formatCode>
                <c:ptCount val="1"/>
                <c:pt idx="0">
                  <c:v>11.937891681887642</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AUX!$AR$434</c:f>
              <c:strCache>
                <c:ptCount val="1"/>
                <c:pt idx="0">
                  <c:v>K86 ou K87</c:v>
                </c:pt>
              </c:strCache>
            </c:strRef>
          </c:cat>
          <c:val>
            <c:numRef>
              <c:f>AUX!$AR$464</c:f>
              <c:numCache>
                <c:formatCode>0.0</c:formatCode>
                <c:ptCount val="1"/>
                <c:pt idx="0">
                  <c:v>26.347207161134605</c:v>
                </c:pt>
              </c:numCache>
            </c:numRef>
          </c:val>
        </c:ser>
        <c:gapWidth val="0"/>
        <c:overlap val="100"/>
        <c:axId val="284975104"/>
        <c:axId val="284977024"/>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AUX!$AR$456</c:f>
              <c:numCache>
                <c:formatCode>0.0</c:formatCode>
                <c:ptCount val="1"/>
                <c:pt idx="0">
                  <c:v>187.98016382583691</c:v>
                </c:pt>
              </c:numCache>
            </c:numRef>
          </c:xVal>
          <c:yVal>
            <c:numRef>
              <c:f>AUX!$AR$434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AUX!$AR$458</c:f>
              <c:numCache>
                <c:formatCode>0.0</c:formatCode>
                <c:ptCount val="1"/>
                <c:pt idx="0">
                  <c:v>187.98016382583691</c:v>
                </c:pt>
              </c:numCache>
            </c:numRef>
          </c:xVal>
          <c:yVal>
            <c:numRef>
              <c:f>AUX!$AR$434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AUX!$AR$457</c:f>
              <c:numCache>
                <c:formatCode>0.0</c:formatCode>
                <c:ptCount val="1"/>
                <c:pt idx="0">
                  <c:v>61.50640276645435</c:v>
                </c:pt>
              </c:numCache>
            </c:numRef>
          </c:xVal>
          <c:yVal>
            <c:numRef>
              <c:f>AUX!$AR$434</c:f>
              <c:numCache>
                <c:formatCode>General</c:formatCode>
                <c:ptCount val="1"/>
                <c:pt idx="0">
                  <c:v>0</c:v>
                </c:pt>
              </c:numCache>
            </c:numRef>
          </c:yVal>
        </c:ser>
        <c:axId val="284984448"/>
        <c:axId val="284978560"/>
      </c:scatterChart>
      <c:catAx>
        <c:axId val="284975104"/>
        <c:scaling>
          <c:orientation val="minMax"/>
        </c:scaling>
        <c:delete val="1"/>
        <c:axPos val="l"/>
        <c:tickLblPos val="none"/>
        <c:crossAx val="284977024"/>
        <c:crosses val="autoZero"/>
        <c:auto val="1"/>
        <c:lblAlgn val="ctr"/>
        <c:lblOffset val="100"/>
      </c:catAx>
      <c:valAx>
        <c:axId val="284977024"/>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4975104"/>
        <c:crosses val="autoZero"/>
        <c:crossBetween val="between"/>
      </c:valAx>
      <c:valAx>
        <c:axId val="284978560"/>
        <c:scaling>
          <c:orientation val="minMax"/>
          <c:max val="0.5"/>
          <c:min val="-0.5"/>
        </c:scaling>
        <c:delete val="1"/>
        <c:axPos val="r"/>
        <c:numFmt formatCode="General" sourceLinked="1"/>
        <c:tickLblPos val="none"/>
        <c:crossAx val="284984448"/>
        <c:crosses val="max"/>
        <c:crossBetween val="midCat"/>
      </c:valAx>
      <c:valAx>
        <c:axId val="284984448"/>
        <c:scaling>
          <c:orientation val="minMax"/>
        </c:scaling>
        <c:delete val="1"/>
        <c:axPos val="b"/>
        <c:numFmt formatCode="0.0" sourceLinked="1"/>
        <c:tickLblPos val="none"/>
        <c:crossAx val="284978560"/>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AUX!$AS$434</c:f>
              <c:strCache>
                <c:ptCount val="1"/>
                <c:pt idx="0">
                  <c:v>T93</c:v>
                </c:pt>
              </c:strCache>
            </c:strRef>
          </c:cat>
          <c:val>
            <c:numRef>
              <c:f>AUX!$AS$460</c:f>
              <c:numCache>
                <c:formatCode>0.0</c:formatCode>
                <c:ptCount val="1"/>
                <c:pt idx="0">
                  <c:v>57.238990663624847</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AUX!$AS$434</c:f>
              <c:strCache>
                <c:ptCount val="1"/>
                <c:pt idx="0">
                  <c:v>T93</c:v>
                </c:pt>
              </c:strCache>
            </c:strRef>
          </c:cat>
          <c:val>
            <c:numRef>
              <c:f>AUX!$AS$461</c:f>
              <c:numCache>
                <c:formatCode>0.0</c:formatCode>
                <c:ptCount val="1"/>
                <c:pt idx="0">
                  <c:v>11.427434572835395</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AUX!$AS$434</c:f>
              <c:strCache>
                <c:ptCount val="1"/>
                <c:pt idx="0">
                  <c:v>T93</c:v>
                </c:pt>
              </c:strCache>
            </c:strRef>
          </c:cat>
          <c:val>
            <c:numRef>
              <c:f>AUX!$AS$462</c:f>
              <c:numCache>
                <c:formatCode>0.0</c:formatCode>
                <c:ptCount val="1"/>
                <c:pt idx="0">
                  <c:v>15.487411959924628</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AUX!$AS$434</c:f>
              <c:strCache>
                <c:ptCount val="1"/>
                <c:pt idx="0">
                  <c:v>T93</c:v>
                </c:pt>
              </c:strCache>
            </c:strRef>
          </c:cat>
          <c:val>
            <c:numRef>
              <c:f>AUX!$AS$464</c:f>
              <c:numCache>
                <c:formatCode>0.0</c:formatCode>
                <c:ptCount val="1"/>
                <c:pt idx="0">
                  <c:v>15.84616280361513</c:v>
                </c:pt>
              </c:numCache>
            </c:numRef>
          </c:val>
        </c:ser>
        <c:gapWidth val="0"/>
        <c:overlap val="100"/>
        <c:axId val="285033984"/>
        <c:axId val="285035904"/>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AUX!$AS$456</c:f>
              <c:numCache>
                <c:formatCode>0.0</c:formatCode>
                <c:ptCount val="1"/>
                <c:pt idx="0">
                  <c:v>152.68713907051119</c:v>
                </c:pt>
              </c:numCache>
            </c:numRef>
          </c:xVal>
          <c:yVal>
            <c:numRef>
              <c:f>AUX!$AS$434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AUX!$AS$458</c:f>
              <c:numCache>
                <c:formatCode>0.0</c:formatCode>
                <c:ptCount val="1"/>
                <c:pt idx="0">
                  <c:v>152.68713907051119</c:v>
                </c:pt>
              </c:numCache>
            </c:numRef>
          </c:xVal>
          <c:yVal>
            <c:numRef>
              <c:f>AUX!$AS$434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AUX!$AS$457</c:f>
              <c:numCache>
                <c:formatCode>0.0</c:formatCode>
                <c:ptCount val="1"/>
                <c:pt idx="0">
                  <c:v>70.210655434973233</c:v>
                </c:pt>
              </c:numCache>
            </c:numRef>
          </c:xVal>
          <c:yVal>
            <c:numRef>
              <c:f>AUX!$AS$434</c:f>
              <c:numCache>
                <c:formatCode>General</c:formatCode>
                <c:ptCount val="1"/>
                <c:pt idx="0">
                  <c:v>0</c:v>
                </c:pt>
              </c:numCache>
            </c:numRef>
          </c:yVal>
        </c:ser>
        <c:axId val="285047424"/>
        <c:axId val="285045888"/>
      </c:scatterChart>
      <c:catAx>
        <c:axId val="285033984"/>
        <c:scaling>
          <c:orientation val="minMax"/>
        </c:scaling>
        <c:delete val="1"/>
        <c:axPos val="l"/>
        <c:tickLblPos val="none"/>
        <c:crossAx val="285035904"/>
        <c:crosses val="autoZero"/>
        <c:auto val="1"/>
        <c:lblAlgn val="ctr"/>
        <c:lblOffset val="100"/>
      </c:catAx>
      <c:valAx>
        <c:axId val="285035904"/>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5033984"/>
        <c:crosses val="autoZero"/>
        <c:crossBetween val="between"/>
      </c:valAx>
      <c:valAx>
        <c:axId val="285045888"/>
        <c:scaling>
          <c:orientation val="minMax"/>
          <c:max val="0.5"/>
          <c:min val="-0.5"/>
        </c:scaling>
        <c:delete val="1"/>
        <c:axPos val="r"/>
        <c:numFmt formatCode="General" sourceLinked="1"/>
        <c:tickLblPos val="none"/>
        <c:crossAx val="285047424"/>
        <c:crosses val="max"/>
        <c:crossBetween val="midCat"/>
      </c:valAx>
      <c:valAx>
        <c:axId val="285047424"/>
        <c:scaling>
          <c:orientation val="minMax"/>
        </c:scaling>
        <c:delete val="1"/>
        <c:axPos val="b"/>
        <c:numFmt formatCode="0.0" sourceLinked="1"/>
        <c:tickLblPos val="none"/>
        <c:crossAx val="285045888"/>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AUX!$AT$434</c:f>
              <c:strCache>
                <c:ptCount val="1"/>
                <c:pt idx="0">
                  <c:v>P76</c:v>
                </c:pt>
              </c:strCache>
            </c:strRef>
          </c:cat>
          <c:val>
            <c:numRef>
              <c:f>AUX!$AT$460</c:f>
              <c:numCache>
                <c:formatCode>0.0</c:formatCode>
                <c:ptCount val="1"/>
                <c:pt idx="0">
                  <c:v>39.262103557453514</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AUX!$AT$434</c:f>
              <c:strCache>
                <c:ptCount val="1"/>
                <c:pt idx="0">
                  <c:v>P76</c:v>
                </c:pt>
              </c:strCache>
            </c:strRef>
          </c:cat>
          <c:val>
            <c:numRef>
              <c:f>AUX!$AT$461</c:f>
              <c:numCache>
                <c:formatCode>0.0</c:formatCode>
                <c:ptCount val="1"/>
                <c:pt idx="0">
                  <c:v>17.62936140362131</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AUX!$AT$434</c:f>
              <c:strCache>
                <c:ptCount val="1"/>
                <c:pt idx="0">
                  <c:v>P76</c:v>
                </c:pt>
              </c:strCache>
            </c:strRef>
          </c:cat>
          <c:val>
            <c:numRef>
              <c:f>AUX!$AT$462</c:f>
              <c:numCache>
                <c:formatCode>0.0</c:formatCode>
                <c:ptCount val="1"/>
                <c:pt idx="0">
                  <c:v>18.745261152230576</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AUX!$AT$434</c:f>
              <c:strCache>
                <c:ptCount val="1"/>
                <c:pt idx="0">
                  <c:v>P76</c:v>
                </c:pt>
              </c:strCache>
            </c:strRef>
          </c:cat>
          <c:val>
            <c:numRef>
              <c:f>AUX!$AT$464</c:f>
              <c:numCache>
                <c:formatCode>0.0</c:formatCode>
                <c:ptCount val="1"/>
                <c:pt idx="0">
                  <c:v>24.3632738866946</c:v>
                </c:pt>
              </c:numCache>
            </c:numRef>
          </c:val>
        </c:ser>
        <c:gapWidth val="0"/>
        <c:overlap val="100"/>
        <c:axId val="285096960"/>
        <c:axId val="285111424"/>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AUX!$AT$456</c:f>
              <c:numCache>
                <c:formatCode>0.0</c:formatCode>
                <c:ptCount val="1"/>
                <c:pt idx="0">
                  <c:v>166.15464984822086</c:v>
                </c:pt>
              </c:numCache>
            </c:numRef>
          </c:xVal>
          <c:yVal>
            <c:numRef>
              <c:f>AUX!$AT$434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AUX!$AT$458</c:f>
              <c:numCache>
                <c:formatCode>0.0</c:formatCode>
                <c:ptCount val="1"/>
                <c:pt idx="0">
                  <c:v>166.15464984822086</c:v>
                </c:pt>
              </c:numCache>
            </c:numRef>
          </c:xVal>
          <c:yVal>
            <c:numRef>
              <c:f>AUX!$AT$434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AUX!$AT$457</c:f>
              <c:numCache>
                <c:formatCode>0.0</c:formatCode>
                <c:ptCount val="1"/>
                <c:pt idx="0">
                  <c:v>58.04062299345614</c:v>
                </c:pt>
              </c:numCache>
            </c:numRef>
          </c:xVal>
          <c:yVal>
            <c:numRef>
              <c:f>AUX!$AT$434</c:f>
              <c:numCache>
                <c:formatCode>General</c:formatCode>
                <c:ptCount val="1"/>
                <c:pt idx="0">
                  <c:v>0</c:v>
                </c:pt>
              </c:numCache>
            </c:numRef>
          </c:yVal>
        </c:ser>
        <c:axId val="285127040"/>
        <c:axId val="285112960"/>
      </c:scatterChart>
      <c:catAx>
        <c:axId val="285096960"/>
        <c:scaling>
          <c:orientation val="minMax"/>
        </c:scaling>
        <c:delete val="1"/>
        <c:axPos val="l"/>
        <c:tickLblPos val="none"/>
        <c:crossAx val="285111424"/>
        <c:crosses val="autoZero"/>
        <c:auto val="1"/>
        <c:lblAlgn val="ctr"/>
        <c:lblOffset val="100"/>
      </c:catAx>
      <c:valAx>
        <c:axId val="285111424"/>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5096960"/>
        <c:crosses val="autoZero"/>
        <c:crossBetween val="between"/>
      </c:valAx>
      <c:valAx>
        <c:axId val="285112960"/>
        <c:scaling>
          <c:orientation val="minMax"/>
          <c:max val="0.5"/>
          <c:min val="-0.5"/>
        </c:scaling>
        <c:delete val="1"/>
        <c:axPos val="r"/>
        <c:numFmt formatCode="General" sourceLinked="1"/>
        <c:tickLblPos val="none"/>
        <c:crossAx val="285127040"/>
        <c:crosses val="max"/>
        <c:crossBetween val="midCat"/>
      </c:valAx>
      <c:valAx>
        <c:axId val="285127040"/>
        <c:scaling>
          <c:orientation val="minMax"/>
        </c:scaling>
        <c:delete val="1"/>
        <c:axPos val="b"/>
        <c:numFmt formatCode="0.0" sourceLinked="1"/>
        <c:tickLblPos val="none"/>
        <c:crossAx val="285112960"/>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AUX!$AU$434</c:f>
              <c:strCache>
                <c:ptCount val="1"/>
                <c:pt idx="0">
                  <c:v>T89 ou T90</c:v>
                </c:pt>
              </c:strCache>
            </c:strRef>
          </c:cat>
          <c:val>
            <c:numRef>
              <c:f>AUX!$AU$460</c:f>
              <c:numCache>
                <c:formatCode>0.0</c:formatCode>
                <c:ptCount val="1"/>
                <c:pt idx="0">
                  <c:v>29.43673647634137</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AUX!$AU$434</c:f>
              <c:strCache>
                <c:ptCount val="1"/>
                <c:pt idx="0">
                  <c:v>T89 ou T90</c:v>
                </c:pt>
              </c:strCache>
            </c:strRef>
          </c:cat>
          <c:val>
            <c:numRef>
              <c:f>AUX!$AU$461</c:f>
              <c:numCache>
                <c:formatCode>0.0</c:formatCode>
                <c:ptCount val="1"/>
                <c:pt idx="0">
                  <c:v>16.605302915239076</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AUX!$AU$434</c:f>
              <c:strCache>
                <c:ptCount val="1"/>
                <c:pt idx="0">
                  <c:v>T89 ou T90</c:v>
                </c:pt>
              </c:strCache>
            </c:strRef>
          </c:cat>
          <c:val>
            <c:numRef>
              <c:f>AUX!$AU$462</c:f>
              <c:numCache>
                <c:formatCode>0.0</c:formatCode>
                <c:ptCount val="1"/>
                <c:pt idx="0">
                  <c:v>22.395278503087397</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AUX!$AU$434</c:f>
              <c:strCache>
                <c:ptCount val="1"/>
                <c:pt idx="0">
                  <c:v>T89 ou T90</c:v>
                </c:pt>
              </c:strCache>
            </c:strRef>
          </c:cat>
          <c:val>
            <c:numRef>
              <c:f>AUX!$AU$464</c:f>
              <c:numCache>
                <c:formatCode>0.0</c:formatCode>
                <c:ptCount val="1"/>
                <c:pt idx="0">
                  <c:v>31.562682105332158</c:v>
                </c:pt>
              </c:numCache>
            </c:numRef>
          </c:val>
        </c:ser>
        <c:gapWidth val="0"/>
        <c:overlap val="100"/>
        <c:axId val="285172480"/>
        <c:axId val="285174400"/>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AUX!$AU$456</c:f>
              <c:numCache>
                <c:formatCode>0.0</c:formatCode>
                <c:ptCount val="1"/>
                <c:pt idx="0">
                  <c:v>214.72985615665382</c:v>
                </c:pt>
              </c:numCache>
            </c:numRef>
          </c:xVal>
          <c:yVal>
            <c:numRef>
              <c:f>AUX!$AU$434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AUX!$AU$458</c:f>
              <c:numCache>
                <c:formatCode>0.0</c:formatCode>
                <c:ptCount val="1"/>
                <c:pt idx="0">
                  <c:v>214.72985615665382</c:v>
                </c:pt>
              </c:numCache>
            </c:numRef>
          </c:xVal>
          <c:yVal>
            <c:numRef>
              <c:f>AUX!$AU$434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AUX!$AU$457</c:f>
              <c:numCache>
                <c:formatCode>0.0</c:formatCode>
                <c:ptCount val="1"/>
                <c:pt idx="0">
                  <c:v>52.127638159401336</c:v>
                </c:pt>
              </c:numCache>
            </c:numRef>
          </c:xVal>
          <c:yVal>
            <c:numRef>
              <c:f>AUX!$AU$434</c:f>
              <c:numCache>
                <c:formatCode>General</c:formatCode>
                <c:ptCount val="1"/>
                <c:pt idx="0">
                  <c:v>0</c:v>
                </c:pt>
              </c:numCache>
            </c:numRef>
          </c:yVal>
        </c:ser>
        <c:axId val="285198208"/>
        <c:axId val="285196672"/>
      </c:scatterChart>
      <c:catAx>
        <c:axId val="285172480"/>
        <c:scaling>
          <c:orientation val="minMax"/>
        </c:scaling>
        <c:delete val="1"/>
        <c:axPos val="l"/>
        <c:tickLblPos val="none"/>
        <c:crossAx val="285174400"/>
        <c:crosses val="autoZero"/>
        <c:auto val="1"/>
        <c:lblAlgn val="ctr"/>
        <c:lblOffset val="100"/>
      </c:catAx>
      <c:valAx>
        <c:axId val="285174400"/>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85172480"/>
        <c:crosses val="autoZero"/>
        <c:crossBetween val="between"/>
      </c:valAx>
      <c:valAx>
        <c:axId val="285196672"/>
        <c:scaling>
          <c:orientation val="minMax"/>
          <c:max val="0.5"/>
          <c:min val="-0.5"/>
        </c:scaling>
        <c:delete val="1"/>
        <c:axPos val="r"/>
        <c:numFmt formatCode="General" sourceLinked="1"/>
        <c:tickLblPos val="none"/>
        <c:crossAx val="285198208"/>
        <c:crosses val="max"/>
        <c:crossBetween val="midCat"/>
      </c:valAx>
      <c:valAx>
        <c:axId val="285198208"/>
        <c:scaling>
          <c:orientation val="minMax"/>
        </c:scaling>
        <c:delete val="1"/>
        <c:axPos val="b"/>
        <c:numFmt formatCode="0.0" sourceLinked="1"/>
        <c:tickLblPos val="none"/>
        <c:crossAx val="285196672"/>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AUX!$AV$434</c:f>
              <c:strCache>
                <c:ptCount val="1"/>
                <c:pt idx="0">
                  <c:v>T82</c:v>
                </c:pt>
              </c:strCache>
            </c:strRef>
          </c:cat>
          <c:val>
            <c:numRef>
              <c:f>AUX!$AV$460</c:f>
              <c:numCache>
                <c:formatCode>0.0</c:formatCode>
                <c:ptCount val="1"/>
                <c:pt idx="0">
                  <c:v>43.87842883424721</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AUX!$AV$434</c:f>
              <c:strCache>
                <c:ptCount val="1"/>
                <c:pt idx="0">
                  <c:v>T82</c:v>
                </c:pt>
              </c:strCache>
            </c:strRef>
          </c:cat>
          <c:val>
            <c:numRef>
              <c:f>AUX!$AV$461</c:f>
              <c:numCache>
                <c:formatCode>0.0</c:formatCode>
                <c:ptCount val="1"/>
                <c:pt idx="0">
                  <c:v>12.112157391238796</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AUX!$AV$434</c:f>
              <c:strCache>
                <c:ptCount val="1"/>
                <c:pt idx="0">
                  <c:v>T82</c:v>
                </c:pt>
              </c:strCache>
            </c:strRef>
          </c:cat>
          <c:val>
            <c:numRef>
              <c:f>AUX!$AV$462</c:f>
              <c:numCache>
                <c:formatCode>0.0</c:formatCode>
                <c:ptCount val="1"/>
                <c:pt idx="0">
                  <c:v>12.605138274002108</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AUX!$AV$434</c:f>
              <c:strCache>
                <c:ptCount val="1"/>
                <c:pt idx="0">
                  <c:v>T82</c:v>
                </c:pt>
              </c:strCache>
            </c:strRef>
          </c:cat>
          <c:val>
            <c:numRef>
              <c:f>AUX!$AV$464</c:f>
              <c:numCache>
                <c:formatCode>0.0</c:formatCode>
                <c:ptCount val="1"/>
                <c:pt idx="0">
                  <c:v>31.404275500511886</c:v>
                </c:pt>
              </c:numCache>
            </c:numRef>
          </c:val>
        </c:ser>
        <c:gapWidth val="0"/>
        <c:overlap val="100"/>
        <c:axId val="293677312"/>
        <c:axId val="293691776"/>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AUX!$AV$456</c:f>
              <c:numCache>
                <c:formatCode>0.0</c:formatCode>
                <c:ptCount val="1"/>
                <c:pt idx="0">
                  <c:v>123.7783919773443</c:v>
                </c:pt>
              </c:numCache>
            </c:numRef>
          </c:xVal>
          <c:yVal>
            <c:numRef>
              <c:f>AUX!$AV$434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AUX!$AV$458</c:f>
              <c:numCache>
                <c:formatCode>0.0</c:formatCode>
                <c:ptCount val="1"/>
                <c:pt idx="0">
                  <c:v>123.7783919773443</c:v>
                </c:pt>
              </c:numCache>
            </c:numRef>
          </c:xVal>
          <c:yVal>
            <c:numRef>
              <c:f>AUX!$AV$434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AUX!$AV$457</c:f>
              <c:numCache>
                <c:formatCode>0.0</c:formatCode>
                <c:ptCount val="1"/>
                <c:pt idx="0">
                  <c:v>56.085072773329912</c:v>
                </c:pt>
              </c:numCache>
            </c:numRef>
          </c:xVal>
          <c:yVal>
            <c:numRef>
              <c:f>AUX!$AV$434</c:f>
              <c:numCache>
                <c:formatCode>General</c:formatCode>
                <c:ptCount val="1"/>
                <c:pt idx="0">
                  <c:v>0</c:v>
                </c:pt>
              </c:numCache>
            </c:numRef>
          </c:yVal>
        </c:ser>
        <c:axId val="293694848"/>
        <c:axId val="293693312"/>
      </c:scatterChart>
      <c:catAx>
        <c:axId val="293677312"/>
        <c:scaling>
          <c:orientation val="minMax"/>
        </c:scaling>
        <c:delete val="1"/>
        <c:axPos val="l"/>
        <c:tickLblPos val="none"/>
        <c:crossAx val="293691776"/>
        <c:crosses val="autoZero"/>
        <c:auto val="1"/>
        <c:lblAlgn val="ctr"/>
        <c:lblOffset val="100"/>
      </c:catAx>
      <c:valAx>
        <c:axId val="293691776"/>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93677312"/>
        <c:crosses val="autoZero"/>
        <c:crossBetween val="between"/>
      </c:valAx>
      <c:valAx>
        <c:axId val="293693312"/>
        <c:scaling>
          <c:orientation val="minMax"/>
          <c:max val="0.5"/>
          <c:min val="-0.5"/>
        </c:scaling>
        <c:delete val="1"/>
        <c:axPos val="r"/>
        <c:numFmt formatCode="General" sourceLinked="1"/>
        <c:tickLblPos val="none"/>
        <c:crossAx val="293694848"/>
        <c:crosses val="max"/>
        <c:crossBetween val="midCat"/>
      </c:valAx>
      <c:valAx>
        <c:axId val="293694848"/>
        <c:scaling>
          <c:orientation val="minMax"/>
        </c:scaling>
        <c:delete val="1"/>
        <c:axPos val="b"/>
        <c:numFmt formatCode="0.0" sourceLinked="1"/>
        <c:tickLblPos val="none"/>
        <c:crossAx val="293693312"/>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0954645191409899"/>
          <c:y val="5.527854938271605E-2"/>
          <c:w val="0.86458309990660487"/>
          <c:h val="0.71516589506172834"/>
        </c:manualLayout>
      </c:layout>
      <c:lineChart>
        <c:grouping val="standard"/>
        <c:ser>
          <c:idx val="0"/>
          <c:order val="0"/>
          <c:tx>
            <c:strRef>
              <c:f>AUX!$A$85</c:f>
              <c:strCache>
                <c:ptCount val="1"/>
                <c:pt idx="0">
                  <c:v>Continente</c:v>
                </c:pt>
              </c:strCache>
            </c:strRef>
          </c:tx>
          <c:spPr>
            <a:ln w="12700">
              <a:solidFill>
                <a:srgbClr val="FF0000"/>
              </a:solidFill>
            </a:ln>
          </c:spPr>
          <c:marker>
            <c:symbol val="none"/>
          </c:marker>
          <c:cat>
            <c:strRef>
              <c:f>AUX!$B$84:$P$84</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AUX!$B$85:$P$85</c:f>
              <c:numCache>
                <c:formatCode>0.0</c:formatCode>
                <c:ptCount val="15"/>
                <c:pt idx="0">
                  <c:v>72.236034473125429</c:v>
                </c:pt>
                <c:pt idx="1">
                  <c:v>72.59212045396508</c:v>
                </c:pt>
                <c:pt idx="2">
                  <c:v>72.939511744395816</c:v>
                </c:pt>
                <c:pt idx="3">
                  <c:v>73.382464218606671</c:v>
                </c:pt>
                <c:pt idx="4">
                  <c:v>73.807200112506806</c:v>
                </c:pt>
                <c:pt idx="5">
                  <c:v>74.111729973825817</c:v>
                </c:pt>
                <c:pt idx="6">
                  <c:v>74.53809573917448</c:v>
                </c:pt>
                <c:pt idx="7">
                  <c:v>74.836478445845216</c:v>
                </c:pt>
                <c:pt idx="8">
                  <c:v>75.268369061226039</c:v>
                </c:pt>
                <c:pt idx="9">
                  <c:v>75.58199477957811</c:v>
                </c:pt>
                <c:pt idx="10">
                  <c:v>76.037112625383713</c:v>
                </c:pt>
                <c:pt idx="11">
                  <c:v>76.384046458242906</c:v>
                </c:pt>
                <c:pt idx="12">
                  <c:v>76.656367834144277</c:v>
                </c:pt>
                <c:pt idx="13">
                  <c:v>77.046402771931596</c:v>
                </c:pt>
                <c:pt idx="14">
                  <c:v>77.325289100626719</c:v>
                </c:pt>
              </c:numCache>
            </c:numRef>
          </c:val>
        </c:ser>
        <c:ser>
          <c:idx val="1"/>
          <c:order val="1"/>
          <c:tx>
            <c:strRef>
              <c:f>AUX!$A$86</c:f>
              <c:strCache>
                <c:ptCount val="1"/>
                <c:pt idx="0">
                  <c:v>0</c:v>
                </c:pt>
              </c:strCache>
            </c:strRef>
          </c:tx>
          <c:spPr>
            <a:ln w="12700">
              <a:solidFill>
                <a:schemeClr val="tx2">
                  <a:lumMod val="75000"/>
                </a:schemeClr>
              </a:solidFill>
            </a:ln>
          </c:spPr>
          <c:marker>
            <c:symbol val="none"/>
          </c:marker>
          <c:cat>
            <c:strRef>
              <c:f>AUX!$B$84:$P$84</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AUX!$B$86:$P$86</c:f>
              <c:numCache>
                <c:formatCode>0.0</c:formatCode>
                <c:ptCount val="15"/>
              </c:numCache>
            </c:numRef>
          </c:val>
        </c:ser>
        <c:ser>
          <c:idx val="2"/>
          <c:order val="2"/>
          <c:tx>
            <c:strRef>
              <c:f>AUX!$A$87</c:f>
              <c:strCache>
                <c:ptCount val="1"/>
                <c:pt idx="0">
                  <c:v>0</c:v>
                </c:pt>
              </c:strCache>
            </c:strRef>
          </c:tx>
          <c:spPr>
            <a:ln w="25400">
              <a:solidFill>
                <a:srgbClr val="008080"/>
              </a:solidFill>
            </a:ln>
          </c:spPr>
          <c:marker>
            <c:symbol val="none"/>
          </c:marker>
          <c:errBars>
            <c:errDir val="y"/>
            <c:errBarType val="both"/>
            <c:errValType val="cust"/>
            <c:plus>
              <c:numRef>
                <c:f>AUX!$B$90:$P$90</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plus>
            <c:minus>
              <c:numRef>
                <c:f>AUX!$B$90:$P$90</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minus>
            <c:spPr>
              <a:ln>
                <a:solidFill>
                  <a:srgbClr val="008080"/>
                </a:solidFill>
              </a:ln>
            </c:spPr>
          </c:errBars>
          <c:cat>
            <c:strRef>
              <c:f>AUX!$B$84:$P$84</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AUX!$B$87:$P$87</c:f>
              <c:numCache>
                <c:formatCode>0.0</c:formatCode>
                <c:ptCount val="15"/>
              </c:numCache>
            </c:numRef>
          </c:val>
        </c:ser>
        <c:marker val="1"/>
        <c:axId val="281577344"/>
        <c:axId val="281578880"/>
      </c:lineChart>
      <c:catAx>
        <c:axId val="281577344"/>
        <c:scaling>
          <c:orientation val="minMax"/>
        </c:scaling>
        <c:axPos val="b"/>
        <c:numFmt formatCode="General" sourceLinked="1"/>
        <c:tickLblPos val="nextTo"/>
        <c:txPr>
          <a:bodyPr/>
          <a:lstStyle/>
          <a:p>
            <a:pPr>
              <a:defRPr lang="en-US" sz="900">
                <a:latin typeface="Arial" pitchFamily="34" charset="0"/>
                <a:cs typeface="Arial" pitchFamily="34" charset="0"/>
              </a:defRPr>
            </a:pPr>
            <a:endParaRPr lang="pt-PT"/>
          </a:p>
        </c:txPr>
        <c:crossAx val="281578880"/>
        <c:crosses val="autoZero"/>
        <c:auto val="1"/>
        <c:lblAlgn val="ctr"/>
        <c:lblOffset val="100"/>
        <c:tickLblSkip val="2"/>
        <c:tickMarkSkip val="1"/>
      </c:catAx>
      <c:valAx>
        <c:axId val="281578880"/>
        <c:scaling>
          <c:orientation val="minMax"/>
          <c:max val="86"/>
          <c:min val="68"/>
        </c:scaling>
        <c:axPos val="l"/>
        <c:majorGridlines>
          <c:spPr>
            <a:ln w="3175">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Anos</a:t>
                </a:r>
              </a:p>
            </c:rich>
          </c:tx>
          <c:layout>
            <c:manualLayout>
              <c:xMode val="edge"/>
              <c:yMode val="edge"/>
              <c:x val="5.2175536881419234E-3"/>
              <c:y val="1.1797839506172863E-2"/>
            </c:manualLayout>
          </c:layout>
        </c:title>
        <c:numFmt formatCode="0" sourceLinked="0"/>
        <c:tickLblPos val="nextTo"/>
        <c:spPr>
          <a:ln>
            <a:solidFill>
              <a:schemeClr val="bg1">
                <a:lumMod val="85000"/>
              </a:schemeClr>
            </a:solidFill>
          </a:ln>
        </c:spPr>
        <c:txPr>
          <a:bodyPr/>
          <a:lstStyle/>
          <a:p>
            <a:pPr>
              <a:defRPr lang="en-US" sz="900">
                <a:latin typeface="Arial" pitchFamily="34" charset="0"/>
                <a:cs typeface="Arial" pitchFamily="34" charset="0"/>
              </a:defRPr>
            </a:pPr>
            <a:endParaRPr lang="pt-PT"/>
          </a:p>
        </c:txPr>
        <c:crossAx val="281577344"/>
        <c:crosses val="autoZero"/>
        <c:crossBetween val="between"/>
        <c:majorUnit val="2"/>
        <c:minorUnit val="0.4"/>
      </c:valAx>
    </c:plotArea>
    <c:legend>
      <c:legendPos val="b"/>
      <c:layout>
        <c:manualLayout>
          <c:xMode val="edge"/>
          <c:yMode val="edge"/>
          <c:x val="1.6211251167133525E-2"/>
          <c:y val="0.89670023148150735"/>
          <c:w val="0.96757749766573364"/>
          <c:h val="8.3701003086421227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w="3175">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bg1">
                <a:lumMod val="85000"/>
              </a:schemeClr>
            </a:solidFill>
            <a:ln>
              <a:solidFill>
                <a:schemeClr val="bg1">
                  <a:lumMod val="95000"/>
                </a:schemeClr>
              </a:solidFill>
            </a:ln>
          </c:spPr>
          <c:cat>
            <c:strLit>
              <c:ptCount val="1"/>
              <c:pt idx="0">
                <c:v>Exemplo</c:v>
              </c:pt>
            </c:strLit>
          </c:cat>
          <c:val>
            <c:numRef>
              <c:f>AUX!$B$460</c:f>
              <c:numCache>
                <c:formatCode>General</c:formatCode>
                <c:ptCount val="1"/>
                <c:pt idx="0">
                  <c:v>25</c:v>
                </c:pt>
              </c:numCache>
            </c:numRef>
          </c:val>
        </c:ser>
        <c:ser>
          <c:idx val="1"/>
          <c:order val="1"/>
          <c:tx>
            <c:strRef>
              <c:f>AUX!$A$461</c:f>
              <c:strCache>
                <c:ptCount val="1"/>
                <c:pt idx="0">
                  <c:v>2Q Box</c:v>
                </c:pt>
              </c:strCache>
            </c:strRef>
          </c:tx>
          <c:spPr>
            <a:solidFill>
              <a:schemeClr val="bg1">
                <a:lumMod val="65000"/>
              </a:schemeClr>
            </a:solidFill>
            <a:ln>
              <a:solidFill>
                <a:schemeClr val="bg1">
                  <a:lumMod val="95000"/>
                </a:schemeClr>
              </a:solidFill>
            </a:ln>
          </c:spPr>
          <c:cat>
            <c:strLit>
              <c:ptCount val="1"/>
              <c:pt idx="0">
                <c:v>Exemplo</c:v>
              </c:pt>
            </c:strLit>
          </c:cat>
          <c:val>
            <c:numRef>
              <c:f>AUX!$B$461</c:f>
              <c:numCache>
                <c:formatCode>General</c:formatCode>
                <c:ptCount val="1"/>
                <c:pt idx="0">
                  <c:v>25</c:v>
                </c:pt>
              </c:numCache>
            </c:numRef>
          </c:val>
        </c:ser>
        <c:ser>
          <c:idx val="2"/>
          <c:order val="2"/>
          <c:tx>
            <c:strRef>
              <c:f>AUX!$A$462</c:f>
              <c:strCache>
                <c:ptCount val="1"/>
                <c:pt idx="0">
                  <c:v>3Q Box</c:v>
                </c:pt>
              </c:strCache>
            </c:strRef>
          </c:tx>
          <c:spPr>
            <a:solidFill>
              <a:schemeClr val="bg1">
                <a:lumMod val="65000"/>
              </a:schemeClr>
            </a:solidFill>
            <a:ln>
              <a:solidFill>
                <a:schemeClr val="bg1">
                  <a:lumMod val="95000"/>
                </a:schemeClr>
              </a:solidFill>
            </a:ln>
          </c:spPr>
          <c:cat>
            <c:strLit>
              <c:ptCount val="1"/>
              <c:pt idx="0">
                <c:v>Exemplo</c:v>
              </c:pt>
            </c:strLit>
          </c:cat>
          <c:val>
            <c:numRef>
              <c:f>AUX!$B$462</c:f>
              <c:numCache>
                <c:formatCode>General</c:formatCode>
                <c:ptCount val="1"/>
                <c:pt idx="0">
                  <c:v>25</c:v>
                </c:pt>
              </c:numCache>
            </c:numRef>
          </c:val>
        </c:ser>
        <c:ser>
          <c:idx val="3"/>
          <c:order val="3"/>
          <c:tx>
            <c:strRef>
              <c:f>AUX!$A$464</c:f>
              <c:strCache>
                <c:ptCount val="1"/>
                <c:pt idx="0">
                  <c:v>bar2</c:v>
                </c:pt>
              </c:strCache>
            </c:strRef>
          </c:tx>
          <c:spPr>
            <a:solidFill>
              <a:schemeClr val="bg1">
                <a:lumMod val="85000"/>
              </a:schemeClr>
            </a:solidFill>
            <a:ln>
              <a:solidFill>
                <a:schemeClr val="bg1">
                  <a:lumMod val="95000"/>
                </a:schemeClr>
              </a:solidFill>
            </a:ln>
          </c:spPr>
          <c:cat>
            <c:strLit>
              <c:ptCount val="1"/>
              <c:pt idx="0">
                <c:v>Exemplo</c:v>
              </c:pt>
            </c:strLit>
          </c:cat>
          <c:val>
            <c:numRef>
              <c:f>AUX!$B$464</c:f>
              <c:numCache>
                <c:formatCode>General</c:formatCode>
                <c:ptCount val="1"/>
                <c:pt idx="0">
                  <c:v>25</c:v>
                </c:pt>
              </c:numCache>
            </c:numRef>
          </c:val>
        </c:ser>
        <c:gapWidth val="0"/>
        <c:overlap val="100"/>
        <c:axId val="293744640"/>
        <c:axId val="293746560"/>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AUX!$B$456</c:f>
              <c:numCache>
                <c:formatCode>General</c:formatCode>
                <c:ptCount val="1"/>
                <c:pt idx="0">
                  <c:v>80</c:v>
                </c:pt>
              </c:numCache>
            </c:numRef>
          </c:xVal>
          <c:yVal>
            <c:numLit>
              <c:formatCode>General</c:formatCode>
              <c:ptCount val="1"/>
              <c:pt idx="0">
                <c:v>0</c:v>
              </c:pt>
            </c:numLit>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AUX!$B$458</c:f>
              <c:numCache>
                <c:formatCode>General</c:formatCode>
                <c:ptCount val="1"/>
                <c:pt idx="0">
                  <c:v>15</c:v>
                </c:pt>
              </c:numCache>
            </c:numRef>
          </c:xVal>
          <c:yVal>
            <c:numLit>
              <c:formatCode>General</c:formatCode>
              <c:ptCount val="1"/>
              <c:pt idx="0">
                <c:v>0</c:v>
              </c:pt>
            </c:numLit>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AUX!$B$457</c:f>
              <c:numCache>
                <c:formatCode>General</c:formatCode>
                <c:ptCount val="1"/>
                <c:pt idx="0">
                  <c:v>40</c:v>
                </c:pt>
              </c:numCache>
            </c:numRef>
          </c:xVal>
          <c:yVal>
            <c:numLit>
              <c:formatCode>General</c:formatCode>
              <c:ptCount val="1"/>
              <c:pt idx="0">
                <c:v>0</c:v>
              </c:pt>
            </c:numLit>
          </c:yVal>
        </c:ser>
        <c:axId val="293766272"/>
        <c:axId val="293748096"/>
      </c:scatterChart>
      <c:catAx>
        <c:axId val="293744640"/>
        <c:scaling>
          <c:orientation val="minMax"/>
        </c:scaling>
        <c:delete val="1"/>
        <c:axPos val="l"/>
        <c:tickLblPos val="none"/>
        <c:crossAx val="293746560"/>
        <c:crosses val="autoZero"/>
        <c:auto val="1"/>
        <c:lblAlgn val="ctr"/>
        <c:lblOffset val="100"/>
      </c:catAx>
      <c:valAx>
        <c:axId val="293746560"/>
        <c:scaling>
          <c:orientation val="minMax"/>
          <c:max val="100"/>
        </c:scaling>
        <c:delete val="1"/>
        <c:axPos val="b"/>
        <c:majorGridlines>
          <c:spPr>
            <a:ln>
              <a:solidFill>
                <a:schemeClr val="accent3">
                  <a:lumMod val="20000"/>
                  <a:lumOff val="80000"/>
                </a:schemeClr>
              </a:solidFill>
            </a:ln>
          </c:spPr>
        </c:majorGridlines>
        <c:numFmt formatCode="General" sourceLinked="1"/>
        <c:tickLblPos val="none"/>
        <c:crossAx val="293744640"/>
        <c:crosses val="autoZero"/>
        <c:crossBetween val="between"/>
      </c:valAx>
      <c:valAx>
        <c:axId val="293748096"/>
        <c:scaling>
          <c:orientation val="minMax"/>
          <c:max val="0.5"/>
          <c:min val="-0.5"/>
        </c:scaling>
        <c:delete val="1"/>
        <c:axPos val="r"/>
        <c:numFmt formatCode="General" sourceLinked="1"/>
        <c:tickLblPos val="none"/>
        <c:crossAx val="293766272"/>
        <c:crosses val="max"/>
        <c:crossBetween val="midCat"/>
      </c:valAx>
      <c:valAx>
        <c:axId val="293766272"/>
        <c:scaling>
          <c:orientation val="minMax"/>
        </c:scaling>
        <c:delete val="1"/>
        <c:axPos val="b"/>
        <c:numFmt formatCode="General" sourceLinked="1"/>
        <c:tickLblPos val="none"/>
        <c:crossAx val="293748096"/>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AUX!$AZ$434</c:f>
              <c:strCache>
                <c:ptCount val="1"/>
                <c:pt idx="0">
                  <c:v>TxInc sida</c:v>
                </c:pt>
              </c:strCache>
            </c:strRef>
          </c:cat>
          <c:val>
            <c:numRef>
              <c:f>AUX!$AZ$460</c:f>
              <c:numCache>
                <c:formatCode>0.0</c:formatCode>
                <c:ptCount val="1"/>
                <c:pt idx="0">
                  <c:v>65.587191356906729</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AUX!$AZ$434</c:f>
              <c:strCache>
                <c:ptCount val="1"/>
                <c:pt idx="0">
                  <c:v>TxInc sida</c:v>
                </c:pt>
              </c:strCache>
            </c:strRef>
          </c:cat>
          <c:val>
            <c:numRef>
              <c:f>AUX!$AZ$461</c:f>
              <c:numCache>
                <c:formatCode>0.0</c:formatCode>
                <c:ptCount val="1"/>
                <c:pt idx="0">
                  <c:v>13.811599919020722</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AUX!$AZ$434</c:f>
              <c:strCache>
                <c:ptCount val="1"/>
                <c:pt idx="0">
                  <c:v>TxInc sida</c:v>
                </c:pt>
              </c:strCache>
            </c:strRef>
          </c:cat>
          <c:val>
            <c:numRef>
              <c:f>AUX!$AZ$462</c:f>
              <c:numCache>
                <c:formatCode>0.0</c:formatCode>
                <c:ptCount val="1"/>
                <c:pt idx="0">
                  <c:v>13.695728117850152</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AUX!$AZ$434</c:f>
              <c:strCache>
                <c:ptCount val="1"/>
                <c:pt idx="0">
                  <c:v>TxInc sida</c:v>
                </c:pt>
              </c:strCache>
            </c:strRef>
          </c:cat>
          <c:val>
            <c:numRef>
              <c:f>AUX!$AZ$464</c:f>
              <c:numCache>
                <c:formatCode>0.0</c:formatCode>
                <c:ptCount val="1"/>
                <c:pt idx="0">
                  <c:v>6.9054806062223975</c:v>
                </c:pt>
              </c:numCache>
            </c:numRef>
          </c:val>
        </c:ser>
        <c:gapWidth val="0"/>
        <c:overlap val="100"/>
        <c:axId val="293994496"/>
        <c:axId val="293996416"/>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AUX!$AZ$456</c:f>
              <c:numCache>
                <c:formatCode>0.0</c:formatCode>
                <c:ptCount val="1"/>
                <c:pt idx="0">
                  <c:v>100</c:v>
                </c:pt>
              </c:numCache>
            </c:numRef>
          </c:xVal>
          <c:yVal>
            <c:numRef>
              <c:f>AUX!$AZ$434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AUX!$AZ$458</c:f>
              <c:numCache>
                <c:formatCode>0.0</c:formatCode>
                <c:ptCount val="1"/>
                <c:pt idx="0">
                  <c:v>100</c:v>
                </c:pt>
              </c:numCache>
            </c:numRef>
          </c:xVal>
          <c:yVal>
            <c:numRef>
              <c:f>AUX!$AZ$434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AUX!$AZ$457</c:f>
              <c:numCache>
                <c:formatCode>0.0</c:formatCode>
                <c:ptCount val="1"/>
                <c:pt idx="0">
                  <c:v>70.395887583356739</c:v>
                </c:pt>
              </c:numCache>
            </c:numRef>
          </c:xVal>
          <c:yVal>
            <c:numRef>
              <c:f>AUX!$AZ$434</c:f>
              <c:numCache>
                <c:formatCode>General</c:formatCode>
                <c:ptCount val="1"/>
                <c:pt idx="0">
                  <c:v>0</c:v>
                </c:pt>
              </c:numCache>
            </c:numRef>
          </c:yVal>
        </c:ser>
        <c:axId val="294003840"/>
        <c:axId val="293997952"/>
      </c:scatterChart>
      <c:catAx>
        <c:axId val="293994496"/>
        <c:scaling>
          <c:orientation val="minMax"/>
        </c:scaling>
        <c:delete val="1"/>
        <c:axPos val="l"/>
        <c:numFmt formatCode="General" sourceLinked="1"/>
        <c:tickLblPos val="none"/>
        <c:crossAx val="293996416"/>
        <c:crosses val="autoZero"/>
        <c:auto val="1"/>
        <c:lblAlgn val="ctr"/>
        <c:lblOffset val="100"/>
      </c:catAx>
      <c:valAx>
        <c:axId val="293996416"/>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93994496"/>
        <c:crosses val="autoZero"/>
        <c:crossBetween val="between"/>
      </c:valAx>
      <c:valAx>
        <c:axId val="293997952"/>
        <c:scaling>
          <c:orientation val="minMax"/>
          <c:max val="0.5"/>
          <c:min val="-0.5"/>
        </c:scaling>
        <c:delete val="1"/>
        <c:axPos val="r"/>
        <c:numFmt formatCode="General" sourceLinked="1"/>
        <c:tickLblPos val="none"/>
        <c:crossAx val="294003840"/>
        <c:crosses val="max"/>
        <c:crossBetween val="midCat"/>
      </c:valAx>
      <c:valAx>
        <c:axId val="294003840"/>
        <c:scaling>
          <c:orientation val="minMax"/>
        </c:scaling>
        <c:delete val="1"/>
        <c:axPos val="b"/>
        <c:numFmt formatCode="0.0" sourceLinked="1"/>
        <c:tickLblPos val="none"/>
        <c:crossAx val="293997952"/>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AUX!$BA$434</c:f>
              <c:strCache>
                <c:ptCount val="1"/>
                <c:pt idx="0">
                  <c:v>TxInc VIH</c:v>
                </c:pt>
              </c:strCache>
            </c:strRef>
          </c:cat>
          <c:val>
            <c:numRef>
              <c:f>AUX!$BA$460</c:f>
              <c:numCache>
                <c:formatCode>0.0</c:formatCode>
                <c:ptCount val="1"/>
                <c:pt idx="0">
                  <c:v>71.823685457982549</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AUX!$BA$434</c:f>
              <c:strCache>
                <c:ptCount val="1"/>
                <c:pt idx="0">
                  <c:v>TxInc VIH</c:v>
                </c:pt>
              </c:strCache>
            </c:strRef>
          </c:cat>
          <c:val>
            <c:numRef>
              <c:f>AUX!$BA$461</c:f>
              <c:numCache>
                <c:formatCode>0.0</c:formatCode>
                <c:ptCount val="1"/>
                <c:pt idx="0">
                  <c:v>7.9602504686642703</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AUX!$BA$434</c:f>
              <c:strCache>
                <c:ptCount val="1"/>
                <c:pt idx="0">
                  <c:v>TxInc VIH</c:v>
                </c:pt>
              </c:strCache>
            </c:strRef>
          </c:cat>
          <c:val>
            <c:numRef>
              <c:f>AUX!$BA$462</c:f>
              <c:numCache>
                <c:formatCode>0.0</c:formatCode>
                <c:ptCount val="1"/>
                <c:pt idx="0">
                  <c:v>8.3090812862149335</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AUX!$BA$434</c:f>
              <c:strCache>
                <c:ptCount val="1"/>
                <c:pt idx="0">
                  <c:v>TxInc VIH</c:v>
                </c:pt>
              </c:strCache>
            </c:strRef>
          </c:cat>
          <c:val>
            <c:numRef>
              <c:f>AUX!$BA$464</c:f>
              <c:numCache>
                <c:formatCode>0.0</c:formatCode>
                <c:ptCount val="1"/>
                <c:pt idx="0">
                  <c:v>11.906982787138247</c:v>
                </c:pt>
              </c:numCache>
            </c:numRef>
          </c:val>
        </c:ser>
        <c:gapWidth val="0"/>
        <c:overlap val="100"/>
        <c:axId val="294065664"/>
        <c:axId val="294067584"/>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AUX!$BA$456</c:f>
              <c:numCache>
                <c:formatCode>0.0</c:formatCode>
                <c:ptCount val="1"/>
                <c:pt idx="0">
                  <c:v>100</c:v>
                </c:pt>
              </c:numCache>
            </c:numRef>
          </c:xVal>
          <c:yVal>
            <c:numRef>
              <c:f>AUX!$BA$434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AUX!$BA$458</c:f>
              <c:numCache>
                <c:formatCode>0.0</c:formatCode>
                <c:ptCount val="1"/>
                <c:pt idx="0">
                  <c:v>100</c:v>
                </c:pt>
              </c:numCache>
            </c:numRef>
          </c:xVal>
          <c:yVal>
            <c:numRef>
              <c:f>AUX!$BA$434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AUX!$BA$457</c:f>
              <c:numCache>
                <c:formatCode>0.0</c:formatCode>
                <c:ptCount val="1"/>
                <c:pt idx="0">
                  <c:v>70.50422312571348</c:v>
                </c:pt>
              </c:numCache>
            </c:numRef>
          </c:xVal>
          <c:yVal>
            <c:numRef>
              <c:f>AUX!$BA$434</c:f>
              <c:numCache>
                <c:formatCode>General</c:formatCode>
                <c:ptCount val="1"/>
                <c:pt idx="0">
                  <c:v>0</c:v>
                </c:pt>
              </c:numCache>
            </c:numRef>
          </c:yVal>
        </c:ser>
        <c:axId val="294079104"/>
        <c:axId val="294077568"/>
      </c:scatterChart>
      <c:catAx>
        <c:axId val="294065664"/>
        <c:scaling>
          <c:orientation val="minMax"/>
        </c:scaling>
        <c:delete val="1"/>
        <c:axPos val="l"/>
        <c:numFmt formatCode="General" sourceLinked="1"/>
        <c:tickLblPos val="none"/>
        <c:crossAx val="294067584"/>
        <c:crosses val="autoZero"/>
        <c:auto val="1"/>
        <c:lblAlgn val="ctr"/>
        <c:lblOffset val="100"/>
      </c:catAx>
      <c:valAx>
        <c:axId val="294067584"/>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94065664"/>
        <c:crosses val="autoZero"/>
        <c:crossBetween val="between"/>
      </c:valAx>
      <c:valAx>
        <c:axId val="294077568"/>
        <c:scaling>
          <c:orientation val="minMax"/>
          <c:max val="0.5"/>
          <c:min val="-0.5"/>
        </c:scaling>
        <c:delete val="1"/>
        <c:axPos val="r"/>
        <c:numFmt formatCode="General" sourceLinked="1"/>
        <c:tickLblPos val="none"/>
        <c:crossAx val="294079104"/>
        <c:crosses val="max"/>
        <c:crossBetween val="midCat"/>
      </c:valAx>
      <c:valAx>
        <c:axId val="294079104"/>
        <c:scaling>
          <c:orientation val="minMax"/>
        </c:scaling>
        <c:delete val="1"/>
        <c:axPos val="b"/>
        <c:numFmt formatCode="0.0" sourceLinked="1"/>
        <c:tickLblPos val="none"/>
        <c:crossAx val="294077568"/>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1">
                <a:lumMod val="20000"/>
                <a:lumOff val="80000"/>
              </a:schemeClr>
            </a:solidFill>
            <a:ln>
              <a:solidFill>
                <a:schemeClr val="accent1">
                  <a:lumMod val="20000"/>
                  <a:lumOff val="80000"/>
                </a:schemeClr>
              </a:solidFill>
            </a:ln>
          </c:spPr>
          <c:cat>
            <c:strRef>
              <c:f>AUX!$BB$434</c:f>
              <c:strCache>
                <c:ptCount val="1"/>
                <c:pt idx="0">
                  <c:v>TxInc Tub</c:v>
                </c:pt>
              </c:strCache>
            </c:strRef>
          </c:cat>
          <c:val>
            <c:numRef>
              <c:f>AUX!$BB$460</c:f>
              <c:numCache>
                <c:formatCode>0.0</c:formatCode>
                <c:ptCount val="1"/>
                <c:pt idx="0">
                  <c:v>46.814592481975872</c:v>
                </c:pt>
              </c:numCache>
            </c:numRef>
          </c:val>
        </c:ser>
        <c:ser>
          <c:idx val="1"/>
          <c:order val="1"/>
          <c:tx>
            <c:strRef>
              <c:f>AUX!$A$461</c:f>
              <c:strCache>
                <c:ptCount val="1"/>
                <c:pt idx="0">
                  <c:v>2Q Box</c:v>
                </c:pt>
              </c:strCache>
            </c:strRef>
          </c:tx>
          <c:spPr>
            <a:solidFill>
              <a:schemeClr val="accent1">
                <a:lumMod val="60000"/>
                <a:lumOff val="40000"/>
              </a:schemeClr>
            </a:solidFill>
            <a:ln>
              <a:solidFill>
                <a:schemeClr val="accent1">
                  <a:lumMod val="20000"/>
                  <a:lumOff val="80000"/>
                </a:schemeClr>
              </a:solidFill>
            </a:ln>
          </c:spPr>
          <c:cat>
            <c:strRef>
              <c:f>AUX!$BB$434</c:f>
              <c:strCache>
                <c:ptCount val="1"/>
                <c:pt idx="0">
                  <c:v>TxInc Tub</c:v>
                </c:pt>
              </c:strCache>
            </c:strRef>
          </c:cat>
          <c:val>
            <c:numRef>
              <c:f>AUX!$BB$461</c:f>
              <c:numCache>
                <c:formatCode>0.0</c:formatCode>
                <c:ptCount val="1"/>
                <c:pt idx="0">
                  <c:v>19.622188695318805</c:v>
                </c:pt>
              </c:numCache>
            </c:numRef>
          </c:val>
        </c:ser>
        <c:ser>
          <c:idx val="2"/>
          <c:order val="2"/>
          <c:tx>
            <c:strRef>
              <c:f>AUX!$A$462</c:f>
              <c:strCache>
                <c:ptCount val="1"/>
                <c:pt idx="0">
                  <c:v>3Q Box</c:v>
                </c:pt>
              </c:strCache>
            </c:strRef>
          </c:tx>
          <c:spPr>
            <a:solidFill>
              <a:schemeClr val="accent1">
                <a:lumMod val="60000"/>
                <a:lumOff val="40000"/>
              </a:schemeClr>
            </a:solidFill>
            <a:ln>
              <a:solidFill>
                <a:schemeClr val="accent1">
                  <a:lumMod val="20000"/>
                  <a:lumOff val="80000"/>
                </a:schemeClr>
              </a:solidFill>
            </a:ln>
          </c:spPr>
          <c:cat>
            <c:strRef>
              <c:f>AUX!$BB$434</c:f>
              <c:strCache>
                <c:ptCount val="1"/>
                <c:pt idx="0">
                  <c:v>TxInc Tub</c:v>
                </c:pt>
              </c:strCache>
            </c:strRef>
          </c:cat>
          <c:val>
            <c:numRef>
              <c:f>AUX!$BB$462</c:f>
              <c:numCache>
                <c:formatCode>0.0</c:formatCode>
                <c:ptCount val="1"/>
                <c:pt idx="0">
                  <c:v>18.552795569677755</c:v>
                </c:pt>
              </c:numCache>
            </c:numRef>
          </c:val>
        </c:ser>
        <c:ser>
          <c:idx val="3"/>
          <c:order val="3"/>
          <c:tx>
            <c:strRef>
              <c:f>AUX!$A$464</c:f>
              <c:strCache>
                <c:ptCount val="1"/>
                <c:pt idx="0">
                  <c:v>bar2</c:v>
                </c:pt>
              </c:strCache>
            </c:strRef>
          </c:tx>
          <c:spPr>
            <a:solidFill>
              <a:schemeClr val="accent1">
                <a:lumMod val="20000"/>
                <a:lumOff val="80000"/>
              </a:schemeClr>
            </a:solidFill>
            <a:ln>
              <a:solidFill>
                <a:schemeClr val="accent1">
                  <a:lumMod val="20000"/>
                  <a:lumOff val="80000"/>
                </a:schemeClr>
              </a:solidFill>
            </a:ln>
          </c:spPr>
          <c:cat>
            <c:strRef>
              <c:f>AUX!$BB$434</c:f>
              <c:strCache>
                <c:ptCount val="1"/>
                <c:pt idx="0">
                  <c:v>TxInc Tub</c:v>
                </c:pt>
              </c:strCache>
            </c:strRef>
          </c:cat>
          <c:val>
            <c:numRef>
              <c:f>AUX!$BB$464</c:f>
              <c:numCache>
                <c:formatCode>0.0</c:formatCode>
                <c:ptCount val="1"/>
                <c:pt idx="0">
                  <c:v>15.010423253027568</c:v>
                </c:pt>
              </c:numCache>
            </c:numRef>
          </c:val>
        </c:ser>
        <c:gapWidth val="0"/>
        <c:overlap val="100"/>
        <c:axId val="294116352"/>
        <c:axId val="294126720"/>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AUX!$BB$456</c:f>
              <c:numCache>
                <c:formatCode>0.0</c:formatCode>
                <c:ptCount val="1"/>
                <c:pt idx="0">
                  <c:v>115.82991259614049</c:v>
                </c:pt>
              </c:numCache>
            </c:numRef>
          </c:xVal>
          <c:yVal>
            <c:numRef>
              <c:f>AUX!$BB$434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AUX!$BB$458</c:f>
              <c:numCache>
                <c:formatCode>0.0</c:formatCode>
                <c:ptCount val="1"/>
                <c:pt idx="0">
                  <c:v>115.82991259614049</c:v>
                </c:pt>
              </c:numCache>
            </c:numRef>
          </c:xVal>
          <c:yVal>
            <c:numRef>
              <c:f>AUX!$BB$434</c:f>
              <c:numCache>
                <c:formatCode>General</c:formatCode>
                <c:ptCount val="1"/>
                <c:pt idx="0">
                  <c:v>0</c:v>
                </c:pt>
              </c:numCache>
            </c:numRef>
          </c:yVal>
        </c:ser>
        <c:ser>
          <c:idx val="6"/>
          <c:order val="6"/>
          <c:tx>
            <c:strRef>
              <c:f>AUX!$A$457</c:f>
              <c:strCache>
                <c:ptCount val="1"/>
                <c:pt idx="0">
                  <c:v>Continente</c:v>
                </c:pt>
              </c:strCache>
            </c:strRef>
          </c:tx>
          <c:marker>
            <c:symbol val="diamond"/>
            <c:size val="5"/>
            <c:spPr>
              <a:solidFill>
                <a:srgbClr val="FF0000"/>
              </a:solidFill>
            </c:spPr>
          </c:marker>
          <c:xVal>
            <c:numRef>
              <c:f>AUX!$BB$457</c:f>
              <c:numCache>
                <c:formatCode>0.0</c:formatCode>
                <c:ptCount val="1"/>
                <c:pt idx="0">
                  <c:v>58.710098983494873</c:v>
                </c:pt>
              </c:numCache>
            </c:numRef>
          </c:xVal>
          <c:yVal>
            <c:numRef>
              <c:f>AUX!$BB$434</c:f>
              <c:numCache>
                <c:formatCode>General</c:formatCode>
                <c:ptCount val="1"/>
                <c:pt idx="0">
                  <c:v>0</c:v>
                </c:pt>
              </c:numCache>
            </c:numRef>
          </c:yVal>
        </c:ser>
        <c:axId val="294130048"/>
        <c:axId val="294128256"/>
      </c:scatterChart>
      <c:catAx>
        <c:axId val="294116352"/>
        <c:scaling>
          <c:orientation val="minMax"/>
        </c:scaling>
        <c:delete val="1"/>
        <c:axPos val="l"/>
        <c:tickLblPos val="none"/>
        <c:crossAx val="294126720"/>
        <c:crosses val="autoZero"/>
        <c:auto val="1"/>
        <c:lblAlgn val="ctr"/>
        <c:lblOffset val="100"/>
      </c:catAx>
      <c:valAx>
        <c:axId val="294126720"/>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94116352"/>
        <c:crosses val="autoZero"/>
        <c:crossBetween val="between"/>
      </c:valAx>
      <c:valAx>
        <c:axId val="294128256"/>
        <c:scaling>
          <c:orientation val="minMax"/>
          <c:max val="0.5"/>
          <c:min val="-0.5"/>
        </c:scaling>
        <c:delete val="1"/>
        <c:axPos val="r"/>
        <c:numFmt formatCode="General" sourceLinked="1"/>
        <c:tickLblPos val="none"/>
        <c:crossAx val="294130048"/>
        <c:crosses val="max"/>
        <c:crossBetween val="midCat"/>
      </c:valAx>
      <c:valAx>
        <c:axId val="294130048"/>
        <c:scaling>
          <c:orientation val="minMax"/>
        </c:scaling>
        <c:delete val="1"/>
        <c:axPos val="b"/>
        <c:numFmt formatCode="0.0" sourceLinked="1"/>
        <c:tickLblPos val="none"/>
        <c:crossAx val="294128256"/>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6">
                <a:lumMod val="20000"/>
                <a:lumOff val="80000"/>
              </a:schemeClr>
            </a:solidFill>
            <a:ln>
              <a:solidFill>
                <a:schemeClr val="accent6">
                  <a:lumMod val="20000"/>
                  <a:lumOff val="80000"/>
                </a:schemeClr>
              </a:solidFill>
            </a:ln>
          </c:spPr>
          <c:cat>
            <c:strRef>
              <c:f>AUX!$M$434</c:f>
              <c:strCache>
                <c:ptCount val="1"/>
                <c:pt idx="0">
                  <c:v>Tx Criminalidade</c:v>
                </c:pt>
              </c:strCache>
            </c:strRef>
          </c:cat>
          <c:val>
            <c:numRef>
              <c:f>AUX!$M$460</c:f>
              <c:numCache>
                <c:formatCode>0.0</c:formatCode>
                <c:ptCount val="1"/>
                <c:pt idx="0">
                  <c:v>68.433566476864854</c:v>
                </c:pt>
              </c:numCache>
            </c:numRef>
          </c:val>
        </c:ser>
        <c:ser>
          <c:idx val="1"/>
          <c:order val="1"/>
          <c:tx>
            <c:strRef>
              <c:f>AUX!$A$461</c:f>
              <c:strCache>
                <c:ptCount val="1"/>
                <c:pt idx="0">
                  <c:v>2Q Box</c:v>
                </c:pt>
              </c:strCache>
            </c:strRef>
          </c:tx>
          <c:spPr>
            <a:solidFill>
              <a:schemeClr val="accent6">
                <a:lumMod val="60000"/>
                <a:lumOff val="40000"/>
              </a:schemeClr>
            </a:solidFill>
            <a:ln>
              <a:solidFill>
                <a:schemeClr val="accent6">
                  <a:lumMod val="20000"/>
                  <a:lumOff val="80000"/>
                </a:schemeClr>
              </a:solidFill>
            </a:ln>
          </c:spPr>
          <c:cat>
            <c:strRef>
              <c:f>AUX!$M$434</c:f>
              <c:strCache>
                <c:ptCount val="1"/>
                <c:pt idx="0">
                  <c:v>Tx Criminalidade</c:v>
                </c:pt>
              </c:strCache>
            </c:strRef>
          </c:cat>
          <c:val>
            <c:numRef>
              <c:f>AUX!$M$461</c:f>
              <c:numCache>
                <c:formatCode>0.0</c:formatCode>
                <c:ptCount val="1"/>
                <c:pt idx="0">
                  <c:v>9.588258740195144</c:v>
                </c:pt>
              </c:numCache>
            </c:numRef>
          </c:val>
        </c:ser>
        <c:ser>
          <c:idx val="2"/>
          <c:order val="2"/>
          <c:tx>
            <c:strRef>
              <c:f>AUX!$A$462</c:f>
              <c:strCache>
                <c:ptCount val="1"/>
                <c:pt idx="0">
                  <c:v>3Q Box</c:v>
                </c:pt>
              </c:strCache>
            </c:strRef>
          </c:tx>
          <c:spPr>
            <a:solidFill>
              <a:schemeClr val="accent6">
                <a:lumMod val="60000"/>
                <a:lumOff val="40000"/>
              </a:schemeClr>
            </a:solidFill>
            <a:ln>
              <a:solidFill>
                <a:schemeClr val="accent6">
                  <a:lumMod val="20000"/>
                  <a:lumOff val="80000"/>
                </a:schemeClr>
              </a:solidFill>
            </a:ln>
          </c:spPr>
          <c:cat>
            <c:strRef>
              <c:f>AUX!$M$434</c:f>
              <c:strCache>
                <c:ptCount val="1"/>
                <c:pt idx="0">
                  <c:v>Tx Criminalidade</c:v>
                </c:pt>
              </c:strCache>
            </c:strRef>
          </c:cat>
          <c:val>
            <c:numRef>
              <c:f>AUX!$M$462</c:f>
              <c:numCache>
                <c:formatCode>0.0</c:formatCode>
                <c:ptCount val="1"/>
                <c:pt idx="0">
                  <c:v>5.2992504179591577</c:v>
                </c:pt>
              </c:numCache>
            </c:numRef>
          </c:val>
        </c:ser>
        <c:ser>
          <c:idx val="3"/>
          <c:order val="3"/>
          <c:tx>
            <c:strRef>
              <c:f>AUX!$A$464</c:f>
              <c:strCache>
                <c:ptCount val="1"/>
                <c:pt idx="0">
                  <c:v>bar2</c:v>
                </c:pt>
              </c:strCache>
            </c:strRef>
          </c:tx>
          <c:spPr>
            <a:solidFill>
              <a:schemeClr val="accent6">
                <a:lumMod val="20000"/>
                <a:lumOff val="80000"/>
              </a:schemeClr>
            </a:solidFill>
            <a:ln>
              <a:solidFill>
                <a:schemeClr val="accent6">
                  <a:lumMod val="20000"/>
                  <a:lumOff val="80000"/>
                </a:schemeClr>
              </a:solidFill>
            </a:ln>
          </c:spPr>
          <c:cat>
            <c:strRef>
              <c:f>AUX!$M$434</c:f>
              <c:strCache>
                <c:ptCount val="1"/>
                <c:pt idx="0">
                  <c:v>Tx Criminalidade</c:v>
                </c:pt>
              </c:strCache>
            </c:strRef>
          </c:cat>
          <c:val>
            <c:numRef>
              <c:f>AUX!$M$464</c:f>
              <c:numCache>
                <c:formatCode>0.0</c:formatCode>
                <c:ptCount val="1"/>
                <c:pt idx="0">
                  <c:v>16.678924364980844</c:v>
                </c:pt>
              </c:numCache>
            </c:numRef>
          </c:val>
        </c:ser>
        <c:gapWidth val="0"/>
        <c:overlap val="100"/>
        <c:axId val="294195968"/>
        <c:axId val="294197888"/>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AUX!$M$456</c:f>
              <c:numCache>
                <c:formatCode>0.0</c:formatCode>
                <c:ptCount val="1"/>
                <c:pt idx="0">
                  <c:v>134.68744911814144</c:v>
                </c:pt>
              </c:numCache>
            </c:numRef>
          </c:xVal>
          <c:yVal>
            <c:numRef>
              <c:f>AUX!$M$434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AUX!$M$458</c:f>
              <c:numCache>
                <c:formatCode>0.0</c:formatCode>
                <c:ptCount val="1"/>
                <c:pt idx="0">
                  <c:v>134.68744911814144</c:v>
                </c:pt>
              </c:numCache>
            </c:numRef>
          </c:xVal>
          <c:yVal>
            <c:numRef>
              <c:f>AUX!$M$434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AUX!$M$457</c:f>
              <c:numCache>
                <c:formatCode>0.0</c:formatCode>
                <c:ptCount val="1"/>
                <c:pt idx="0">
                  <c:v>69.563815111407862</c:v>
                </c:pt>
              </c:numCache>
            </c:numRef>
          </c:xVal>
          <c:yVal>
            <c:numRef>
              <c:f>AUX!$M$434</c:f>
              <c:numCache>
                <c:formatCode>General</c:formatCode>
                <c:ptCount val="1"/>
                <c:pt idx="0">
                  <c:v>0</c:v>
                </c:pt>
              </c:numCache>
            </c:numRef>
          </c:yVal>
        </c:ser>
        <c:axId val="294209408"/>
        <c:axId val="294207872"/>
      </c:scatterChart>
      <c:catAx>
        <c:axId val="294195968"/>
        <c:scaling>
          <c:orientation val="minMax"/>
        </c:scaling>
        <c:delete val="1"/>
        <c:axPos val="l"/>
        <c:tickLblPos val="none"/>
        <c:crossAx val="294197888"/>
        <c:crosses val="autoZero"/>
        <c:auto val="1"/>
        <c:lblAlgn val="ctr"/>
        <c:lblOffset val="100"/>
      </c:catAx>
      <c:valAx>
        <c:axId val="294197888"/>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94195968"/>
        <c:crosses val="autoZero"/>
        <c:crossBetween val="between"/>
      </c:valAx>
      <c:valAx>
        <c:axId val="294207872"/>
        <c:scaling>
          <c:orientation val="minMax"/>
          <c:max val="0.5"/>
          <c:min val="-0.5"/>
        </c:scaling>
        <c:delete val="1"/>
        <c:axPos val="r"/>
        <c:numFmt formatCode="General" sourceLinked="1"/>
        <c:tickLblPos val="none"/>
        <c:crossAx val="294209408"/>
        <c:crosses val="max"/>
        <c:crossBetween val="midCat"/>
      </c:valAx>
      <c:valAx>
        <c:axId val="294209408"/>
        <c:scaling>
          <c:orientation val="minMax"/>
        </c:scaling>
        <c:delete val="1"/>
        <c:axPos val="b"/>
        <c:numFmt formatCode="0.0" sourceLinked="1"/>
        <c:tickLblPos val="none"/>
        <c:crossAx val="294207872"/>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6">
                <a:lumMod val="20000"/>
                <a:lumOff val="80000"/>
              </a:schemeClr>
            </a:solidFill>
            <a:ln>
              <a:solidFill>
                <a:schemeClr val="accent6">
                  <a:lumMod val="20000"/>
                  <a:lumOff val="80000"/>
                </a:schemeClr>
              </a:solidFill>
            </a:ln>
          </c:spPr>
          <c:cat>
            <c:strRef>
              <c:f>AUX!$N$434</c:f>
              <c:strCache>
                <c:ptCount val="1"/>
                <c:pt idx="0">
                  <c:v>Sem Escola, 2011</c:v>
                </c:pt>
              </c:strCache>
            </c:strRef>
          </c:cat>
          <c:val>
            <c:numRef>
              <c:f>AUX!$N$460</c:f>
              <c:numCache>
                <c:formatCode>0.0</c:formatCode>
                <c:ptCount val="1"/>
                <c:pt idx="0">
                  <c:v>30.348180222372221</c:v>
                </c:pt>
              </c:numCache>
            </c:numRef>
          </c:val>
        </c:ser>
        <c:ser>
          <c:idx val="1"/>
          <c:order val="1"/>
          <c:tx>
            <c:strRef>
              <c:f>AUX!$A$461</c:f>
              <c:strCache>
                <c:ptCount val="1"/>
                <c:pt idx="0">
                  <c:v>2Q Box</c:v>
                </c:pt>
              </c:strCache>
            </c:strRef>
          </c:tx>
          <c:spPr>
            <a:solidFill>
              <a:schemeClr val="accent6">
                <a:lumMod val="60000"/>
                <a:lumOff val="40000"/>
              </a:schemeClr>
            </a:solidFill>
            <a:ln>
              <a:solidFill>
                <a:schemeClr val="accent6">
                  <a:lumMod val="20000"/>
                  <a:lumOff val="80000"/>
                </a:schemeClr>
              </a:solidFill>
            </a:ln>
          </c:spPr>
          <c:cat>
            <c:strRef>
              <c:f>AUX!$N$434</c:f>
              <c:strCache>
                <c:ptCount val="1"/>
                <c:pt idx="0">
                  <c:v>Sem Escola, 2011</c:v>
                </c:pt>
              </c:strCache>
            </c:strRef>
          </c:cat>
          <c:val>
            <c:numRef>
              <c:f>AUX!$N$461</c:f>
              <c:numCache>
                <c:formatCode>0.0</c:formatCode>
                <c:ptCount val="1"/>
                <c:pt idx="0">
                  <c:v>19.344966711038161</c:v>
                </c:pt>
              </c:numCache>
            </c:numRef>
          </c:val>
        </c:ser>
        <c:ser>
          <c:idx val="2"/>
          <c:order val="2"/>
          <c:tx>
            <c:strRef>
              <c:f>AUX!$A$462</c:f>
              <c:strCache>
                <c:ptCount val="1"/>
                <c:pt idx="0">
                  <c:v>3Q Box</c:v>
                </c:pt>
              </c:strCache>
            </c:strRef>
          </c:tx>
          <c:spPr>
            <a:solidFill>
              <a:schemeClr val="accent6">
                <a:lumMod val="60000"/>
                <a:lumOff val="40000"/>
              </a:schemeClr>
            </a:solidFill>
            <a:ln>
              <a:solidFill>
                <a:schemeClr val="accent6">
                  <a:lumMod val="20000"/>
                  <a:lumOff val="80000"/>
                </a:schemeClr>
              </a:solidFill>
            </a:ln>
          </c:spPr>
          <c:cat>
            <c:strRef>
              <c:f>AUX!$N$434</c:f>
              <c:strCache>
                <c:ptCount val="1"/>
                <c:pt idx="0">
                  <c:v>Sem Escola, 2011</c:v>
                </c:pt>
              </c:strCache>
            </c:strRef>
          </c:cat>
          <c:val>
            <c:numRef>
              <c:f>AUX!$N$462</c:f>
              <c:numCache>
                <c:formatCode>0.0</c:formatCode>
                <c:ptCount val="1"/>
                <c:pt idx="0">
                  <c:v>19.896629670493745</c:v>
                </c:pt>
              </c:numCache>
            </c:numRef>
          </c:val>
        </c:ser>
        <c:ser>
          <c:idx val="3"/>
          <c:order val="3"/>
          <c:tx>
            <c:strRef>
              <c:f>AUX!$A$464</c:f>
              <c:strCache>
                <c:ptCount val="1"/>
                <c:pt idx="0">
                  <c:v>bar2</c:v>
                </c:pt>
              </c:strCache>
            </c:strRef>
          </c:tx>
          <c:spPr>
            <a:solidFill>
              <a:schemeClr val="accent6">
                <a:lumMod val="20000"/>
                <a:lumOff val="80000"/>
              </a:schemeClr>
            </a:solidFill>
            <a:ln>
              <a:solidFill>
                <a:schemeClr val="accent6">
                  <a:lumMod val="20000"/>
                  <a:lumOff val="80000"/>
                </a:schemeClr>
              </a:solidFill>
            </a:ln>
          </c:spPr>
          <c:cat>
            <c:strRef>
              <c:f>AUX!$N$434</c:f>
              <c:strCache>
                <c:ptCount val="1"/>
                <c:pt idx="0">
                  <c:v>Sem Escola, 2011</c:v>
                </c:pt>
              </c:strCache>
            </c:strRef>
          </c:cat>
          <c:val>
            <c:numRef>
              <c:f>AUX!$N$464</c:f>
              <c:numCache>
                <c:formatCode>0.0</c:formatCode>
                <c:ptCount val="1"/>
                <c:pt idx="0">
                  <c:v>30.410223396095873</c:v>
                </c:pt>
              </c:numCache>
            </c:numRef>
          </c:val>
        </c:ser>
        <c:gapWidth val="0"/>
        <c:overlap val="100"/>
        <c:axId val="294242560"/>
        <c:axId val="294261120"/>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AUX!$N$456</c:f>
              <c:numCache>
                <c:formatCode>0.0</c:formatCode>
                <c:ptCount val="1"/>
                <c:pt idx="0">
                  <c:v>220.68879713690683</c:v>
                </c:pt>
              </c:numCache>
            </c:numRef>
          </c:xVal>
          <c:yVal>
            <c:numRef>
              <c:f>AUX!$N$434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AUX!$N$458</c:f>
              <c:numCache>
                <c:formatCode>0.0</c:formatCode>
                <c:ptCount val="1"/>
                <c:pt idx="0">
                  <c:v>220.68879713690683</c:v>
                </c:pt>
              </c:numCache>
            </c:numRef>
          </c:xVal>
          <c:yVal>
            <c:numRef>
              <c:f>AUX!$N$434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AUX!$N$457</c:f>
              <c:numCache>
                <c:formatCode>0.0</c:formatCode>
                <c:ptCount val="1"/>
                <c:pt idx="0">
                  <c:v>55.006480975744878</c:v>
                </c:pt>
              </c:numCache>
            </c:numRef>
          </c:xVal>
          <c:yVal>
            <c:numRef>
              <c:f>AUX!$N$434</c:f>
              <c:numCache>
                <c:formatCode>General</c:formatCode>
                <c:ptCount val="1"/>
                <c:pt idx="0">
                  <c:v>0</c:v>
                </c:pt>
              </c:numCache>
            </c:numRef>
          </c:yVal>
        </c:ser>
        <c:axId val="294264192"/>
        <c:axId val="294262656"/>
      </c:scatterChart>
      <c:catAx>
        <c:axId val="294242560"/>
        <c:scaling>
          <c:orientation val="minMax"/>
        </c:scaling>
        <c:delete val="1"/>
        <c:axPos val="l"/>
        <c:numFmt formatCode="General" sourceLinked="1"/>
        <c:tickLblPos val="none"/>
        <c:crossAx val="294261120"/>
        <c:crosses val="autoZero"/>
        <c:auto val="1"/>
        <c:lblAlgn val="ctr"/>
        <c:lblOffset val="100"/>
      </c:catAx>
      <c:valAx>
        <c:axId val="294261120"/>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94242560"/>
        <c:crosses val="autoZero"/>
        <c:crossBetween val="between"/>
      </c:valAx>
      <c:valAx>
        <c:axId val="294262656"/>
        <c:scaling>
          <c:orientation val="minMax"/>
          <c:max val="0.5"/>
          <c:min val="-0.5"/>
        </c:scaling>
        <c:delete val="1"/>
        <c:axPos val="r"/>
        <c:numFmt formatCode="General" sourceLinked="1"/>
        <c:tickLblPos val="none"/>
        <c:crossAx val="294264192"/>
        <c:crosses val="max"/>
        <c:crossBetween val="midCat"/>
      </c:valAx>
      <c:valAx>
        <c:axId val="294264192"/>
        <c:scaling>
          <c:orientation val="minMax"/>
        </c:scaling>
        <c:delete val="1"/>
        <c:axPos val="b"/>
        <c:numFmt formatCode="0.0" sourceLinked="1"/>
        <c:tickLblPos val="none"/>
        <c:crossAx val="294262656"/>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4">
                <a:lumMod val="20000"/>
                <a:lumOff val="80000"/>
              </a:schemeClr>
            </a:solidFill>
            <a:ln>
              <a:solidFill>
                <a:schemeClr val="accent4">
                  <a:lumMod val="20000"/>
                  <a:lumOff val="80000"/>
                </a:schemeClr>
              </a:solidFill>
            </a:ln>
          </c:spPr>
          <c:cat>
            <c:strRef>
              <c:f>AUX!$T$434</c:f>
              <c:strCache>
                <c:ptCount val="1"/>
                <c:pt idx="0">
                  <c:v>P17</c:v>
                </c:pt>
              </c:strCache>
            </c:strRef>
          </c:cat>
          <c:val>
            <c:numRef>
              <c:f>AUX!$T$460</c:f>
              <c:numCache>
                <c:formatCode>0.0</c:formatCode>
                <c:ptCount val="1"/>
                <c:pt idx="0">
                  <c:v>50.02013349218322</c:v>
                </c:pt>
              </c:numCache>
            </c:numRef>
          </c:val>
        </c:ser>
        <c:ser>
          <c:idx val="1"/>
          <c:order val="1"/>
          <c:tx>
            <c:strRef>
              <c:f>AUX!$A$461</c:f>
              <c:strCache>
                <c:ptCount val="1"/>
                <c:pt idx="0">
                  <c:v>2Q Box</c:v>
                </c:pt>
              </c:strCache>
            </c:strRef>
          </c:tx>
          <c:spPr>
            <a:solidFill>
              <a:schemeClr val="accent4">
                <a:lumMod val="60000"/>
                <a:lumOff val="40000"/>
              </a:schemeClr>
            </a:solidFill>
            <a:ln>
              <a:solidFill>
                <a:schemeClr val="accent4">
                  <a:lumMod val="20000"/>
                  <a:lumOff val="80000"/>
                </a:schemeClr>
              </a:solidFill>
            </a:ln>
          </c:spPr>
          <c:cat>
            <c:strRef>
              <c:f>AUX!$T$434</c:f>
              <c:strCache>
                <c:ptCount val="1"/>
                <c:pt idx="0">
                  <c:v>P17</c:v>
                </c:pt>
              </c:strCache>
            </c:strRef>
          </c:cat>
          <c:val>
            <c:numRef>
              <c:f>AUX!$T$461</c:f>
              <c:numCache>
                <c:formatCode>0.0</c:formatCode>
                <c:ptCount val="1"/>
                <c:pt idx="0">
                  <c:v>18.254219896236947</c:v>
                </c:pt>
              </c:numCache>
            </c:numRef>
          </c:val>
        </c:ser>
        <c:ser>
          <c:idx val="2"/>
          <c:order val="2"/>
          <c:tx>
            <c:strRef>
              <c:f>AUX!$A$462</c:f>
              <c:strCache>
                <c:ptCount val="1"/>
                <c:pt idx="0">
                  <c:v>3Q Box</c:v>
                </c:pt>
              </c:strCache>
            </c:strRef>
          </c:tx>
          <c:spPr>
            <a:solidFill>
              <a:schemeClr val="accent4">
                <a:lumMod val="60000"/>
                <a:lumOff val="40000"/>
              </a:schemeClr>
            </a:solidFill>
            <a:ln>
              <a:solidFill>
                <a:schemeClr val="accent4">
                  <a:lumMod val="20000"/>
                  <a:lumOff val="80000"/>
                </a:schemeClr>
              </a:solidFill>
            </a:ln>
          </c:spPr>
          <c:cat>
            <c:strRef>
              <c:f>AUX!$T$434</c:f>
              <c:strCache>
                <c:ptCount val="1"/>
                <c:pt idx="0">
                  <c:v>P17</c:v>
                </c:pt>
              </c:strCache>
            </c:strRef>
          </c:cat>
          <c:val>
            <c:numRef>
              <c:f>AUX!$T$462</c:f>
              <c:numCache>
                <c:formatCode>0.0</c:formatCode>
                <c:ptCount val="1"/>
                <c:pt idx="0">
                  <c:v>9.3713177838105821</c:v>
                </c:pt>
              </c:numCache>
            </c:numRef>
          </c:val>
        </c:ser>
        <c:ser>
          <c:idx val="3"/>
          <c:order val="3"/>
          <c:tx>
            <c:strRef>
              <c:f>AUX!$A$464</c:f>
              <c:strCache>
                <c:ptCount val="1"/>
                <c:pt idx="0">
                  <c:v>bar2</c:v>
                </c:pt>
              </c:strCache>
            </c:strRef>
          </c:tx>
          <c:spPr>
            <a:solidFill>
              <a:schemeClr val="accent4">
                <a:lumMod val="20000"/>
                <a:lumOff val="80000"/>
              </a:schemeClr>
            </a:solidFill>
            <a:ln>
              <a:solidFill>
                <a:schemeClr val="accent4">
                  <a:lumMod val="20000"/>
                  <a:lumOff val="80000"/>
                </a:schemeClr>
              </a:solidFill>
            </a:ln>
          </c:spPr>
          <c:cat>
            <c:strRef>
              <c:f>AUX!$T$434</c:f>
              <c:strCache>
                <c:ptCount val="1"/>
                <c:pt idx="0">
                  <c:v>P17</c:v>
                </c:pt>
              </c:strCache>
            </c:strRef>
          </c:cat>
          <c:val>
            <c:numRef>
              <c:f>AUX!$T$464</c:f>
              <c:numCache>
                <c:formatCode>0.0</c:formatCode>
                <c:ptCount val="1"/>
                <c:pt idx="0">
                  <c:v>22.354328827769251</c:v>
                </c:pt>
              </c:numCache>
            </c:numRef>
          </c:val>
        </c:ser>
        <c:gapWidth val="0"/>
        <c:overlap val="100"/>
        <c:axId val="294322176"/>
        <c:axId val="294324096"/>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AUX!$T$456</c:f>
              <c:numCache>
                <c:formatCode>0.0</c:formatCode>
                <c:ptCount val="1"/>
                <c:pt idx="0">
                  <c:v>116.15433064409501</c:v>
                </c:pt>
              </c:numCache>
            </c:numRef>
          </c:xVal>
          <c:yVal>
            <c:numRef>
              <c:f>AUX!$T$434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AUX!$T$458</c:f>
              <c:numCache>
                <c:formatCode>0.0</c:formatCode>
                <c:ptCount val="1"/>
                <c:pt idx="0">
                  <c:v>116.15433064409501</c:v>
                </c:pt>
              </c:numCache>
            </c:numRef>
          </c:xVal>
          <c:yVal>
            <c:numRef>
              <c:f>AUX!$T$434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AUX!$T$457</c:f>
              <c:numCache>
                <c:formatCode>0.0</c:formatCode>
                <c:ptCount val="1"/>
                <c:pt idx="0">
                  <c:v>60.818107218201824</c:v>
                </c:pt>
              </c:numCache>
            </c:numRef>
          </c:xVal>
          <c:yVal>
            <c:numRef>
              <c:f>AUX!$T$434</c:f>
              <c:numCache>
                <c:formatCode>General</c:formatCode>
                <c:ptCount val="1"/>
                <c:pt idx="0">
                  <c:v>0</c:v>
                </c:pt>
              </c:numCache>
            </c:numRef>
          </c:yVal>
        </c:ser>
        <c:axId val="294343808"/>
        <c:axId val="294325632"/>
      </c:scatterChart>
      <c:catAx>
        <c:axId val="294322176"/>
        <c:scaling>
          <c:orientation val="minMax"/>
        </c:scaling>
        <c:delete val="1"/>
        <c:axPos val="l"/>
        <c:tickLblPos val="none"/>
        <c:crossAx val="294324096"/>
        <c:crosses val="autoZero"/>
        <c:auto val="1"/>
        <c:lblAlgn val="ctr"/>
        <c:lblOffset val="100"/>
      </c:catAx>
      <c:valAx>
        <c:axId val="294324096"/>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94322176"/>
        <c:crosses val="autoZero"/>
        <c:crossBetween val="between"/>
      </c:valAx>
      <c:valAx>
        <c:axId val="294325632"/>
        <c:scaling>
          <c:orientation val="minMax"/>
          <c:max val="0.5"/>
          <c:min val="-0.5"/>
        </c:scaling>
        <c:delete val="1"/>
        <c:axPos val="r"/>
        <c:numFmt formatCode="General" sourceLinked="1"/>
        <c:tickLblPos val="none"/>
        <c:crossAx val="294343808"/>
        <c:crosses val="max"/>
        <c:crossBetween val="midCat"/>
      </c:valAx>
      <c:valAx>
        <c:axId val="294343808"/>
        <c:scaling>
          <c:orientation val="minMax"/>
        </c:scaling>
        <c:delete val="1"/>
        <c:axPos val="b"/>
        <c:numFmt formatCode="0.0" sourceLinked="1"/>
        <c:tickLblPos val="none"/>
        <c:crossAx val="294325632"/>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4">
                <a:lumMod val="20000"/>
                <a:lumOff val="80000"/>
              </a:schemeClr>
            </a:solidFill>
            <a:ln>
              <a:solidFill>
                <a:schemeClr val="accent4">
                  <a:lumMod val="20000"/>
                  <a:lumOff val="80000"/>
                </a:schemeClr>
              </a:solidFill>
            </a:ln>
          </c:spPr>
          <c:cat>
            <c:strRef>
              <c:f>AUX!$U$434</c:f>
              <c:strCache>
                <c:ptCount val="1"/>
                <c:pt idx="0">
                  <c:v>T83</c:v>
                </c:pt>
              </c:strCache>
            </c:strRef>
          </c:cat>
          <c:val>
            <c:numRef>
              <c:f>AUX!$U$460</c:f>
              <c:numCache>
                <c:formatCode>0.0</c:formatCode>
                <c:ptCount val="1"/>
                <c:pt idx="0">
                  <c:v>48.51622099046066</c:v>
                </c:pt>
              </c:numCache>
            </c:numRef>
          </c:val>
        </c:ser>
        <c:ser>
          <c:idx val="1"/>
          <c:order val="1"/>
          <c:tx>
            <c:strRef>
              <c:f>AUX!$A$461</c:f>
              <c:strCache>
                <c:ptCount val="1"/>
                <c:pt idx="0">
                  <c:v>2Q Box</c:v>
                </c:pt>
              </c:strCache>
            </c:strRef>
          </c:tx>
          <c:spPr>
            <a:solidFill>
              <a:schemeClr val="accent4">
                <a:lumMod val="60000"/>
                <a:lumOff val="40000"/>
              </a:schemeClr>
            </a:solidFill>
            <a:ln>
              <a:solidFill>
                <a:schemeClr val="accent4">
                  <a:lumMod val="20000"/>
                  <a:lumOff val="80000"/>
                </a:schemeClr>
              </a:solidFill>
            </a:ln>
          </c:spPr>
          <c:cat>
            <c:strRef>
              <c:f>AUX!$U$434</c:f>
              <c:strCache>
                <c:ptCount val="1"/>
                <c:pt idx="0">
                  <c:v>T83</c:v>
                </c:pt>
              </c:strCache>
            </c:strRef>
          </c:cat>
          <c:val>
            <c:numRef>
              <c:f>AUX!$U$461</c:f>
              <c:numCache>
                <c:formatCode>0.0</c:formatCode>
                <c:ptCount val="1"/>
                <c:pt idx="0">
                  <c:v>16.846231366347503</c:v>
                </c:pt>
              </c:numCache>
            </c:numRef>
          </c:val>
        </c:ser>
        <c:ser>
          <c:idx val="2"/>
          <c:order val="2"/>
          <c:tx>
            <c:strRef>
              <c:f>AUX!$A$462</c:f>
              <c:strCache>
                <c:ptCount val="1"/>
                <c:pt idx="0">
                  <c:v>3Q Box</c:v>
                </c:pt>
              </c:strCache>
            </c:strRef>
          </c:tx>
          <c:spPr>
            <a:solidFill>
              <a:schemeClr val="accent4">
                <a:lumMod val="60000"/>
                <a:lumOff val="40000"/>
              </a:schemeClr>
            </a:solidFill>
            <a:ln>
              <a:solidFill>
                <a:schemeClr val="accent4">
                  <a:lumMod val="20000"/>
                  <a:lumOff val="80000"/>
                </a:schemeClr>
              </a:solidFill>
            </a:ln>
          </c:spPr>
          <c:cat>
            <c:strRef>
              <c:f>AUX!$U$434</c:f>
              <c:strCache>
                <c:ptCount val="1"/>
                <c:pt idx="0">
                  <c:v>T83</c:v>
                </c:pt>
              </c:strCache>
            </c:strRef>
          </c:cat>
          <c:val>
            <c:numRef>
              <c:f>AUX!$U$462</c:f>
              <c:numCache>
                <c:formatCode>0.0</c:formatCode>
                <c:ptCount val="1"/>
                <c:pt idx="0">
                  <c:v>12.096832967941225</c:v>
                </c:pt>
              </c:numCache>
            </c:numRef>
          </c:val>
        </c:ser>
        <c:ser>
          <c:idx val="3"/>
          <c:order val="3"/>
          <c:tx>
            <c:strRef>
              <c:f>AUX!$A$464</c:f>
              <c:strCache>
                <c:ptCount val="1"/>
                <c:pt idx="0">
                  <c:v>bar2</c:v>
                </c:pt>
              </c:strCache>
            </c:strRef>
          </c:tx>
          <c:spPr>
            <a:solidFill>
              <a:schemeClr val="accent4">
                <a:lumMod val="20000"/>
                <a:lumOff val="80000"/>
              </a:schemeClr>
            </a:solidFill>
            <a:ln>
              <a:solidFill>
                <a:schemeClr val="accent4">
                  <a:lumMod val="20000"/>
                  <a:lumOff val="80000"/>
                </a:schemeClr>
              </a:solidFill>
            </a:ln>
          </c:spPr>
          <c:cat>
            <c:strRef>
              <c:f>AUX!$U$434</c:f>
              <c:strCache>
                <c:ptCount val="1"/>
                <c:pt idx="0">
                  <c:v>T83</c:v>
                </c:pt>
              </c:strCache>
            </c:strRef>
          </c:cat>
          <c:val>
            <c:numRef>
              <c:f>AUX!$U$464</c:f>
              <c:numCache>
                <c:formatCode>0.0</c:formatCode>
                <c:ptCount val="1"/>
                <c:pt idx="0">
                  <c:v>22.540714675250612</c:v>
                </c:pt>
              </c:numCache>
            </c:numRef>
          </c:val>
        </c:ser>
        <c:gapWidth val="0"/>
        <c:overlap val="100"/>
        <c:axId val="294364672"/>
        <c:axId val="294366592"/>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AUX!$U$456</c:f>
              <c:numCache>
                <c:formatCode>0.0</c:formatCode>
                <c:ptCount val="1"/>
                <c:pt idx="0">
                  <c:v>111.48061145421553</c:v>
                </c:pt>
              </c:numCache>
            </c:numRef>
          </c:xVal>
          <c:yVal>
            <c:numRef>
              <c:f>AUX!$U$434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AUX!$U$458</c:f>
              <c:numCache>
                <c:formatCode>0.0</c:formatCode>
                <c:ptCount val="1"/>
                <c:pt idx="0">
                  <c:v>111.48061145421553</c:v>
                </c:pt>
              </c:numCache>
            </c:numRef>
          </c:xVal>
          <c:yVal>
            <c:numRef>
              <c:f>AUX!$U$434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AUX!$U$457</c:f>
              <c:numCache>
                <c:formatCode>0.0</c:formatCode>
                <c:ptCount val="1"/>
                <c:pt idx="0">
                  <c:v>60.754224341062844</c:v>
                </c:pt>
              </c:numCache>
            </c:numRef>
          </c:xVal>
          <c:yVal>
            <c:numRef>
              <c:f>AUX!$U$434</c:f>
              <c:numCache>
                <c:formatCode>General</c:formatCode>
                <c:ptCount val="1"/>
                <c:pt idx="0">
                  <c:v>0</c:v>
                </c:pt>
              </c:numCache>
            </c:numRef>
          </c:yVal>
        </c:ser>
        <c:axId val="294382208"/>
        <c:axId val="294380672"/>
      </c:scatterChart>
      <c:catAx>
        <c:axId val="294364672"/>
        <c:scaling>
          <c:orientation val="minMax"/>
        </c:scaling>
        <c:delete val="1"/>
        <c:axPos val="l"/>
        <c:tickLblPos val="none"/>
        <c:crossAx val="294366592"/>
        <c:crosses val="autoZero"/>
        <c:auto val="1"/>
        <c:lblAlgn val="ctr"/>
        <c:lblOffset val="100"/>
      </c:catAx>
      <c:valAx>
        <c:axId val="294366592"/>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94364672"/>
        <c:crosses val="autoZero"/>
        <c:crossBetween val="between"/>
      </c:valAx>
      <c:valAx>
        <c:axId val="294380672"/>
        <c:scaling>
          <c:orientation val="minMax"/>
          <c:max val="0.5"/>
          <c:min val="-0.5"/>
        </c:scaling>
        <c:delete val="1"/>
        <c:axPos val="r"/>
        <c:numFmt formatCode="General" sourceLinked="1"/>
        <c:tickLblPos val="none"/>
        <c:crossAx val="294382208"/>
        <c:crosses val="max"/>
        <c:crossBetween val="midCat"/>
      </c:valAx>
      <c:valAx>
        <c:axId val="294382208"/>
        <c:scaling>
          <c:orientation val="minMax"/>
        </c:scaling>
        <c:delete val="1"/>
        <c:axPos val="b"/>
        <c:numFmt formatCode="0.0" sourceLinked="1"/>
        <c:tickLblPos val="none"/>
        <c:crossAx val="294380672"/>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4208206367039085E-2"/>
          <c:y val="0.13382050400098267"/>
          <c:w val="0.94364420583390063"/>
          <c:h val="0.74866796030813765"/>
        </c:manualLayout>
      </c:layout>
      <c:barChart>
        <c:barDir val="bar"/>
        <c:grouping val="stacked"/>
        <c:ser>
          <c:idx val="0"/>
          <c:order val="0"/>
          <c:tx>
            <c:strRef>
              <c:f>AUX!$A$460</c:f>
              <c:strCache>
                <c:ptCount val="1"/>
                <c:pt idx="0">
                  <c:v>bottom</c:v>
                </c:pt>
              </c:strCache>
            </c:strRef>
          </c:tx>
          <c:spPr>
            <a:solidFill>
              <a:schemeClr val="accent4">
                <a:lumMod val="20000"/>
                <a:lumOff val="80000"/>
              </a:schemeClr>
            </a:solidFill>
            <a:ln>
              <a:solidFill>
                <a:schemeClr val="accent4">
                  <a:lumMod val="20000"/>
                  <a:lumOff val="80000"/>
                </a:schemeClr>
              </a:solidFill>
            </a:ln>
          </c:spPr>
          <c:cat>
            <c:strRef>
              <c:f>AUX!$V$434</c:f>
              <c:strCache>
                <c:ptCount val="1"/>
                <c:pt idx="0">
                  <c:v>P15</c:v>
                </c:pt>
              </c:strCache>
            </c:strRef>
          </c:cat>
          <c:val>
            <c:numRef>
              <c:f>AUX!$V$460</c:f>
              <c:numCache>
                <c:formatCode>0.0</c:formatCode>
                <c:ptCount val="1"/>
                <c:pt idx="0">
                  <c:v>53.312154590009854</c:v>
                </c:pt>
              </c:numCache>
            </c:numRef>
          </c:val>
        </c:ser>
        <c:ser>
          <c:idx val="1"/>
          <c:order val="1"/>
          <c:tx>
            <c:strRef>
              <c:f>AUX!$A$461</c:f>
              <c:strCache>
                <c:ptCount val="1"/>
                <c:pt idx="0">
                  <c:v>2Q Box</c:v>
                </c:pt>
              </c:strCache>
            </c:strRef>
          </c:tx>
          <c:spPr>
            <a:solidFill>
              <a:schemeClr val="accent4">
                <a:lumMod val="60000"/>
                <a:lumOff val="40000"/>
              </a:schemeClr>
            </a:solidFill>
            <a:ln>
              <a:solidFill>
                <a:schemeClr val="accent4">
                  <a:lumMod val="20000"/>
                  <a:lumOff val="80000"/>
                </a:schemeClr>
              </a:solidFill>
            </a:ln>
          </c:spPr>
          <c:cat>
            <c:strRef>
              <c:f>AUX!$V$434</c:f>
              <c:strCache>
                <c:ptCount val="1"/>
                <c:pt idx="0">
                  <c:v>P15</c:v>
                </c:pt>
              </c:strCache>
            </c:strRef>
          </c:cat>
          <c:val>
            <c:numRef>
              <c:f>AUX!$V$461</c:f>
              <c:numCache>
                <c:formatCode>0.0</c:formatCode>
                <c:ptCount val="1"/>
                <c:pt idx="0">
                  <c:v>17.455972470882116</c:v>
                </c:pt>
              </c:numCache>
            </c:numRef>
          </c:val>
        </c:ser>
        <c:ser>
          <c:idx val="2"/>
          <c:order val="2"/>
          <c:tx>
            <c:strRef>
              <c:f>AUX!$A$462</c:f>
              <c:strCache>
                <c:ptCount val="1"/>
                <c:pt idx="0">
                  <c:v>3Q Box</c:v>
                </c:pt>
              </c:strCache>
            </c:strRef>
          </c:tx>
          <c:spPr>
            <a:solidFill>
              <a:schemeClr val="accent4">
                <a:lumMod val="60000"/>
                <a:lumOff val="40000"/>
              </a:schemeClr>
            </a:solidFill>
            <a:ln>
              <a:solidFill>
                <a:schemeClr val="accent4">
                  <a:lumMod val="20000"/>
                  <a:lumOff val="80000"/>
                </a:schemeClr>
              </a:solidFill>
            </a:ln>
          </c:spPr>
          <c:cat>
            <c:strRef>
              <c:f>AUX!$V$434</c:f>
              <c:strCache>
                <c:ptCount val="1"/>
                <c:pt idx="0">
                  <c:v>P15</c:v>
                </c:pt>
              </c:strCache>
            </c:strRef>
          </c:cat>
          <c:val>
            <c:numRef>
              <c:f>AUX!$V$462</c:f>
              <c:numCache>
                <c:formatCode>0.0</c:formatCode>
                <c:ptCount val="1"/>
                <c:pt idx="0">
                  <c:v>15.192896964536317</c:v>
                </c:pt>
              </c:numCache>
            </c:numRef>
          </c:val>
        </c:ser>
        <c:ser>
          <c:idx val="3"/>
          <c:order val="3"/>
          <c:tx>
            <c:strRef>
              <c:f>AUX!$A$464</c:f>
              <c:strCache>
                <c:ptCount val="1"/>
                <c:pt idx="0">
                  <c:v>bar2</c:v>
                </c:pt>
              </c:strCache>
            </c:strRef>
          </c:tx>
          <c:spPr>
            <a:solidFill>
              <a:schemeClr val="accent4">
                <a:lumMod val="20000"/>
                <a:lumOff val="80000"/>
              </a:schemeClr>
            </a:solidFill>
            <a:ln>
              <a:solidFill>
                <a:schemeClr val="accent4">
                  <a:lumMod val="20000"/>
                  <a:lumOff val="80000"/>
                </a:schemeClr>
              </a:solidFill>
            </a:ln>
          </c:spPr>
          <c:cat>
            <c:strRef>
              <c:f>AUX!$V$434</c:f>
              <c:strCache>
                <c:ptCount val="1"/>
                <c:pt idx="0">
                  <c:v>P15</c:v>
                </c:pt>
              </c:strCache>
            </c:strRef>
          </c:cat>
          <c:val>
            <c:numRef>
              <c:f>AUX!$V$464</c:f>
              <c:numCache>
                <c:formatCode>0.0</c:formatCode>
                <c:ptCount val="1"/>
                <c:pt idx="0">
                  <c:v>14.038975974571713</c:v>
                </c:pt>
              </c:numCache>
            </c:numRef>
          </c:val>
        </c:ser>
        <c:gapWidth val="0"/>
        <c:overlap val="100"/>
        <c:axId val="294452224"/>
        <c:axId val="294470784"/>
      </c:barChart>
      <c:scatterChart>
        <c:scatterStyle val="lineMarker"/>
        <c:ser>
          <c:idx val="4"/>
          <c:order val="4"/>
          <c:tx>
            <c:strRef>
              <c:f>AUX!$A$456</c:f>
              <c:strCache>
                <c:ptCount val="1"/>
                <c:pt idx="0">
                  <c:v>0</c:v>
                </c:pt>
              </c:strCache>
            </c:strRef>
          </c:tx>
          <c:spPr>
            <a:ln w="28575">
              <a:solidFill>
                <a:schemeClr val="accent1"/>
              </a:solidFill>
            </a:ln>
          </c:spPr>
          <c:marker>
            <c:symbol val="circle"/>
            <c:size val="6"/>
            <c:spPr>
              <a:solidFill>
                <a:srgbClr val="006666"/>
              </a:solidFill>
              <a:ln w="12700">
                <a:solidFill>
                  <a:srgbClr val="006666"/>
                </a:solidFill>
              </a:ln>
            </c:spPr>
          </c:marker>
          <c:xVal>
            <c:numRef>
              <c:f>AUX!$V$456</c:f>
              <c:numCache>
                <c:formatCode>0.0</c:formatCode>
                <c:ptCount val="1"/>
                <c:pt idx="0">
                  <c:v>118.03040045989783</c:v>
                </c:pt>
              </c:numCache>
            </c:numRef>
          </c:xVal>
          <c:yVal>
            <c:numRef>
              <c:f>AUX!$V$434</c:f>
              <c:numCache>
                <c:formatCode>General</c:formatCode>
                <c:ptCount val="1"/>
                <c:pt idx="0">
                  <c:v>0</c:v>
                </c:pt>
              </c:numCache>
            </c:numRef>
          </c:yVal>
        </c:ser>
        <c:ser>
          <c:idx val="5"/>
          <c:order val="5"/>
          <c:tx>
            <c:strRef>
              <c:f>AUX!$A$458</c:f>
              <c:strCache>
                <c:ptCount val="1"/>
                <c:pt idx="0">
                  <c:v>0</c:v>
                </c:pt>
              </c:strCache>
            </c:strRef>
          </c:tx>
          <c:marker>
            <c:symbol val="diamond"/>
            <c:size val="5"/>
            <c:spPr>
              <a:solidFill>
                <a:schemeClr val="tx2">
                  <a:lumMod val="50000"/>
                </a:schemeClr>
              </a:solidFill>
              <a:ln>
                <a:solidFill>
                  <a:schemeClr val="tx2">
                    <a:lumMod val="50000"/>
                  </a:schemeClr>
                </a:solidFill>
              </a:ln>
            </c:spPr>
          </c:marker>
          <c:xVal>
            <c:numRef>
              <c:f>AUX!$V$458</c:f>
              <c:numCache>
                <c:formatCode>0.0</c:formatCode>
                <c:ptCount val="1"/>
                <c:pt idx="0">
                  <c:v>118.03040045989783</c:v>
                </c:pt>
              </c:numCache>
            </c:numRef>
          </c:xVal>
          <c:yVal>
            <c:numRef>
              <c:f>AUX!$V$434</c:f>
              <c:numCache>
                <c:formatCode>General</c:formatCode>
                <c:ptCount val="1"/>
                <c:pt idx="0">
                  <c:v>0</c:v>
                </c:pt>
              </c:numCache>
            </c:numRef>
          </c:yVal>
        </c:ser>
        <c:ser>
          <c:idx val="6"/>
          <c:order val="6"/>
          <c:tx>
            <c:strRef>
              <c:f>AUX!$A$457</c:f>
              <c:strCache>
                <c:ptCount val="1"/>
                <c:pt idx="0">
                  <c:v>Continente</c:v>
                </c:pt>
              </c:strCache>
            </c:strRef>
          </c:tx>
          <c:marker>
            <c:symbol val="diamond"/>
            <c:size val="4"/>
            <c:spPr>
              <a:solidFill>
                <a:srgbClr val="FF0000"/>
              </a:solidFill>
              <a:ln>
                <a:solidFill>
                  <a:srgbClr val="FF0000"/>
                </a:solidFill>
              </a:ln>
            </c:spPr>
          </c:marker>
          <c:xVal>
            <c:numRef>
              <c:f>AUX!$V$457</c:f>
              <c:numCache>
                <c:formatCode>0.0</c:formatCode>
                <c:ptCount val="1"/>
                <c:pt idx="0">
                  <c:v>72.101660844592857</c:v>
                </c:pt>
              </c:numCache>
            </c:numRef>
          </c:xVal>
          <c:yVal>
            <c:numRef>
              <c:f>AUX!$V$434</c:f>
              <c:numCache>
                <c:formatCode>General</c:formatCode>
                <c:ptCount val="1"/>
                <c:pt idx="0">
                  <c:v>0</c:v>
                </c:pt>
              </c:numCache>
            </c:numRef>
          </c:yVal>
        </c:ser>
        <c:axId val="294486400"/>
        <c:axId val="294472320"/>
      </c:scatterChart>
      <c:catAx>
        <c:axId val="294452224"/>
        <c:scaling>
          <c:orientation val="minMax"/>
        </c:scaling>
        <c:delete val="1"/>
        <c:axPos val="l"/>
        <c:tickLblPos val="none"/>
        <c:crossAx val="294470784"/>
        <c:crosses val="autoZero"/>
        <c:auto val="1"/>
        <c:lblAlgn val="ctr"/>
        <c:lblOffset val="100"/>
      </c:catAx>
      <c:valAx>
        <c:axId val="294470784"/>
        <c:scaling>
          <c:orientation val="minMax"/>
          <c:max val="100"/>
        </c:scaling>
        <c:delete val="1"/>
        <c:axPos val="b"/>
        <c:majorGridlines>
          <c:spPr>
            <a:ln>
              <a:solidFill>
                <a:schemeClr val="accent3">
                  <a:lumMod val="20000"/>
                  <a:lumOff val="80000"/>
                </a:schemeClr>
              </a:solidFill>
            </a:ln>
          </c:spPr>
        </c:majorGridlines>
        <c:numFmt formatCode="0.0" sourceLinked="1"/>
        <c:tickLblPos val="none"/>
        <c:crossAx val="294452224"/>
        <c:crosses val="autoZero"/>
        <c:crossBetween val="between"/>
      </c:valAx>
      <c:valAx>
        <c:axId val="294472320"/>
        <c:scaling>
          <c:orientation val="minMax"/>
          <c:max val="0.5"/>
          <c:min val="-0.5"/>
        </c:scaling>
        <c:delete val="1"/>
        <c:axPos val="r"/>
        <c:numFmt formatCode="General" sourceLinked="1"/>
        <c:tickLblPos val="none"/>
        <c:crossAx val="294486400"/>
        <c:crosses val="max"/>
        <c:crossBetween val="midCat"/>
      </c:valAx>
      <c:valAx>
        <c:axId val="294486400"/>
        <c:scaling>
          <c:orientation val="minMax"/>
        </c:scaling>
        <c:delete val="1"/>
        <c:axPos val="b"/>
        <c:numFmt formatCode="0.0" sourceLinked="1"/>
        <c:tickLblPos val="none"/>
        <c:crossAx val="294472320"/>
        <c:crosses val="autoZero"/>
        <c:crossBetween val="midCat"/>
      </c:valAx>
      <c:spPr>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0954645191409899"/>
          <c:y val="5.527854938271605E-2"/>
          <c:w val="0.86458309990660465"/>
          <c:h val="0.71516589506172834"/>
        </c:manualLayout>
      </c:layout>
      <c:lineChart>
        <c:grouping val="standard"/>
        <c:ser>
          <c:idx val="0"/>
          <c:order val="0"/>
          <c:tx>
            <c:strRef>
              <c:f>AUX!$A$92</c:f>
              <c:strCache>
                <c:ptCount val="1"/>
                <c:pt idx="0">
                  <c:v>Continente</c:v>
                </c:pt>
              </c:strCache>
            </c:strRef>
          </c:tx>
          <c:spPr>
            <a:ln w="12700">
              <a:solidFill>
                <a:srgbClr val="FF0000"/>
              </a:solidFill>
            </a:ln>
          </c:spPr>
          <c:marker>
            <c:symbol val="none"/>
          </c:marker>
          <c:cat>
            <c:strRef>
              <c:f>AUX!$B$91:$P$91</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AUX!$B$92:$P$92</c:f>
              <c:numCache>
                <c:formatCode>0.0</c:formatCode>
                <c:ptCount val="15"/>
                <c:pt idx="0">
                  <c:v>79.443923615595722</c:v>
                </c:pt>
                <c:pt idx="1">
                  <c:v>79.693892792065768</c:v>
                </c:pt>
                <c:pt idx="2">
                  <c:v>79.999141955163608</c:v>
                </c:pt>
                <c:pt idx="3">
                  <c:v>80.418481546781095</c:v>
                </c:pt>
                <c:pt idx="4">
                  <c:v>80.791862316458221</c:v>
                </c:pt>
                <c:pt idx="5">
                  <c:v>80.914577714649738</c:v>
                </c:pt>
                <c:pt idx="6">
                  <c:v>81.220585636122593</c:v>
                </c:pt>
                <c:pt idx="7">
                  <c:v>81.420421666650441</c:v>
                </c:pt>
                <c:pt idx="8">
                  <c:v>82.004085267982191</c:v>
                </c:pt>
                <c:pt idx="9">
                  <c:v>82.244534380367867</c:v>
                </c:pt>
                <c:pt idx="10">
                  <c:v>82.624994827090632</c:v>
                </c:pt>
                <c:pt idx="11">
                  <c:v>82.731426705931</c:v>
                </c:pt>
                <c:pt idx="12">
                  <c:v>82.940009905682018</c:v>
                </c:pt>
                <c:pt idx="13">
                  <c:v>83.371656505874853</c:v>
                </c:pt>
                <c:pt idx="14">
                  <c:v>83.655929725352806</c:v>
                </c:pt>
              </c:numCache>
            </c:numRef>
          </c:val>
        </c:ser>
        <c:ser>
          <c:idx val="1"/>
          <c:order val="1"/>
          <c:tx>
            <c:strRef>
              <c:f>AUX!$A$93</c:f>
              <c:strCache>
                <c:ptCount val="1"/>
                <c:pt idx="0">
                  <c:v>0</c:v>
                </c:pt>
              </c:strCache>
            </c:strRef>
          </c:tx>
          <c:spPr>
            <a:ln w="12700">
              <a:solidFill>
                <a:schemeClr val="tx2">
                  <a:lumMod val="75000"/>
                </a:schemeClr>
              </a:solidFill>
            </a:ln>
          </c:spPr>
          <c:marker>
            <c:symbol val="none"/>
          </c:marker>
          <c:cat>
            <c:strRef>
              <c:f>AUX!$B$91:$P$91</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AUX!$B$93:$P$93</c:f>
              <c:numCache>
                <c:formatCode>0.0</c:formatCode>
                <c:ptCount val="15"/>
              </c:numCache>
            </c:numRef>
          </c:val>
        </c:ser>
        <c:ser>
          <c:idx val="2"/>
          <c:order val="2"/>
          <c:tx>
            <c:strRef>
              <c:f>AUX!$A$94</c:f>
              <c:strCache>
                <c:ptCount val="1"/>
                <c:pt idx="0">
                  <c:v>0</c:v>
                </c:pt>
              </c:strCache>
            </c:strRef>
          </c:tx>
          <c:spPr>
            <a:ln w="25400">
              <a:solidFill>
                <a:srgbClr val="008080"/>
              </a:solidFill>
            </a:ln>
          </c:spPr>
          <c:marker>
            <c:symbol val="none"/>
          </c:marker>
          <c:errBars>
            <c:errDir val="y"/>
            <c:errBarType val="both"/>
            <c:errValType val="cust"/>
            <c:plus>
              <c:numRef>
                <c:f>AUX!$B$97:$P$97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plus>
            <c:minus>
              <c:numRef>
                <c:f>AUX!$B$97:$P$97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minus>
            <c:spPr>
              <a:ln>
                <a:solidFill>
                  <a:srgbClr val="008080"/>
                </a:solidFill>
              </a:ln>
            </c:spPr>
          </c:errBars>
          <c:cat>
            <c:strRef>
              <c:f>AUX!$B$91:$P$91</c:f>
              <c:strCache>
                <c:ptCount val="15"/>
                <c:pt idx="0">
                  <c:v>96-98</c:v>
                </c:pt>
                <c:pt idx="1">
                  <c:v>97-99</c:v>
                </c:pt>
                <c:pt idx="2">
                  <c:v>98-00</c:v>
                </c:pt>
                <c:pt idx="3">
                  <c:v>99-01</c:v>
                </c:pt>
                <c:pt idx="4">
                  <c:v>00-02</c:v>
                </c:pt>
                <c:pt idx="5">
                  <c:v>01-03</c:v>
                </c:pt>
                <c:pt idx="6">
                  <c:v>02-04</c:v>
                </c:pt>
                <c:pt idx="7">
                  <c:v>03-05</c:v>
                </c:pt>
                <c:pt idx="8">
                  <c:v>04-06</c:v>
                </c:pt>
                <c:pt idx="9">
                  <c:v>05-07</c:v>
                </c:pt>
                <c:pt idx="10">
                  <c:v>06-08</c:v>
                </c:pt>
                <c:pt idx="11">
                  <c:v>07-09</c:v>
                </c:pt>
                <c:pt idx="12">
                  <c:v>08-10</c:v>
                </c:pt>
                <c:pt idx="13">
                  <c:v>09-11</c:v>
                </c:pt>
                <c:pt idx="14">
                  <c:v>10-12</c:v>
                </c:pt>
              </c:strCache>
            </c:strRef>
          </c:cat>
          <c:val>
            <c:numRef>
              <c:f>AUX!$B$94:$P$94</c:f>
              <c:numCache>
                <c:formatCode>0.0</c:formatCode>
                <c:ptCount val="15"/>
              </c:numCache>
            </c:numRef>
          </c:val>
        </c:ser>
        <c:marker val="1"/>
        <c:axId val="87270912"/>
        <c:axId val="87272448"/>
      </c:lineChart>
      <c:catAx>
        <c:axId val="87270912"/>
        <c:scaling>
          <c:orientation val="minMax"/>
        </c:scaling>
        <c:axPos val="b"/>
        <c:numFmt formatCode="General" sourceLinked="1"/>
        <c:tickLblPos val="nextTo"/>
        <c:txPr>
          <a:bodyPr/>
          <a:lstStyle/>
          <a:p>
            <a:pPr>
              <a:defRPr lang="en-US" sz="900">
                <a:latin typeface="Arial" pitchFamily="34" charset="0"/>
                <a:cs typeface="Arial" pitchFamily="34" charset="0"/>
              </a:defRPr>
            </a:pPr>
            <a:endParaRPr lang="pt-PT"/>
          </a:p>
        </c:txPr>
        <c:crossAx val="87272448"/>
        <c:crosses val="autoZero"/>
        <c:auto val="1"/>
        <c:lblAlgn val="ctr"/>
        <c:lblOffset val="100"/>
        <c:tickLblSkip val="2"/>
        <c:tickMarkSkip val="1"/>
      </c:catAx>
      <c:valAx>
        <c:axId val="87272448"/>
        <c:scaling>
          <c:orientation val="minMax"/>
          <c:max val="86"/>
          <c:min val="68"/>
        </c:scaling>
        <c:axPos val="l"/>
        <c:majorGridlines>
          <c:spPr>
            <a:ln w="3175">
              <a:solidFill>
                <a:schemeClr val="bg1">
                  <a:lumMod val="95000"/>
                </a:schemeClr>
              </a:solidFill>
            </a:ln>
          </c:spPr>
        </c:majorGridlines>
        <c:title>
          <c:tx>
            <c:rich>
              <a:bodyPr rot="-5400000" vert="horz"/>
              <a:lstStyle/>
              <a:p>
                <a:pPr>
                  <a:defRPr lang="en-US" sz="900" b="0">
                    <a:latin typeface="Arial" pitchFamily="34" charset="0"/>
                    <a:cs typeface="Arial" pitchFamily="34" charset="0"/>
                  </a:defRPr>
                </a:pPr>
                <a:r>
                  <a:rPr lang="en-US" sz="900" b="0">
                    <a:latin typeface="Arial" pitchFamily="34" charset="0"/>
                    <a:cs typeface="Arial" pitchFamily="34" charset="0"/>
                  </a:rPr>
                  <a:t>Anos</a:t>
                </a:r>
              </a:p>
            </c:rich>
          </c:tx>
          <c:layout>
            <c:manualLayout>
              <c:xMode val="edge"/>
              <c:yMode val="edge"/>
              <c:x val="5.2175536881419234E-3"/>
              <c:y val="1.1797839506172863E-2"/>
            </c:manualLayout>
          </c:layout>
        </c:title>
        <c:numFmt formatCode="0" sourceLinked="0"/>
        <c:tickLblPos val="nextTo"/>
        <c:spPr>
          <a:ln>
            <a:solidFill>
              <a:schemeClr val="bg1">
                <a:lumMod val="85000"/>
              </a:schemeClr>
            </a:solidFill>
          </a:ln>
        </c:spPr>
        <c:txPr>
          <a:bodyPr/>
          <a:lstStyle/>
          <a:p>
            <a:pPr>
              <a:defRPr lang="en-US" sz="900">
                <a:latin typeface="Arial" pitchFamily="34" charset="0"/>
                <a:cs typeface="Arial" pitchFamily="34" charset="0"/>
              </a:defRPr>
            </a:pPr>
            <a:endParaRPr lang="pt-PT"/>
          </a:p>
        </c:txPr>
        <c:crossAx val="87270912"/>
        <c:crosses val="autoZero"/>
        <c:crossBetween val="between"/>
        <c:majorUnit val="2"/>
        <c:minorUnit val="0.4"/>
      </c:valAx>
    </c:plotArea>
    <c:legend>
      <c:legendPos val="b"/>
      <c:layout>
        <c:manualLayout>
          <c:xMode val="edge"/>
          <c:yMode val="edge"/>
          <c:x val="1.6211251167133525E-2"/>
          <c:y val="0.89670023148150768"/>
          <c:w val="0.96757749766573364"/>
          <c:h val="8.3701003086421227E-2"/>
        </c:manualLayout>
      </c:layout>
      <c:spPr>
        <a:ln w="3175">
          <a:solidFill>
            <a:schemeClr val="bg1">
              <a:lumMod val="95000"/>
            </a:schemeClr>
          </a:solidFill>
        </a:ln>
      </c:spPr>
      <c:txPr>
        <a:bodyPr/>
        <a:lstStyle/>
        <a:p>
          <a:pPr>
            <a:defRPr lang="en-US" sz="900">
              <a:latin typeface="Arial" pitchFamily="34" charset="0"/>
              <a:cs typeface="Arial" pitchFamily="34" charset="0"/>
            </a:defRPr>
          </a:pPr>
          <a:endParaRPr lang="pt-PT"/>
        </a:p>
      </c:txPr>
    </c:legend>
    <c:plotVisOnly val="1"/>
    <c:dispBlanksAs val="gap"/>
  </c:chart>
  <c:spPr>
    <a:ln w="3175">
      <a:solidFill>
        <a:schemeClr val="bg1">
          <a:lumMod val="85000"/>
        </a:scheme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10.xml.rels><?xml version="1.0" encoding="UTF-8" standalone="yes"?>
<Relationships xmlns="http://schemas.openxmlformats.org/package/2006/relationships"><Relationship Id="rId8" Type="http://schemas.openxmlformats.org/officeDocument/2006/relationships/chart" Target="../charts/chart54.xml"/><Relationship Id="rId13" Type="http://schemas.openxmlformats.org/officeDocument/2006/relationships/chart" Target="../charts/chart59.xml"/><Relationship Id="rId18" Type="http://schemas.openxmlformats.org/officeDocument/2006/relationships/chart" Target="../charts/chart64.xml"/><Relationship Id="rId26" Type="http://schemas.openxmlformats.org/officeDocument/2006/relationships/chart" Target="../charts/chart72.xml"/><Relationship Id="rId39" Type="http://schemas.openxmlformats.org/officeDocument/2006/relationships/chart" Target="../charts/chart84.xml"/><Relationship Id="rId3" Type="http://schemas.openxmlformats.org/officeDocument/2006/relationships/chart" Target="../charts/chart49.xml"/><Relationship Id="rId21" Type="http://schemas.openxmlformats.org/officeDocument/2006/relationships/chart" Target="../charts/chart67.xml"/><Relationship Id="rId34" Type="http://schemas.openxmlformats.org/officeDocument/2006/relationships/chart" Target="../charts/chart80.xml"/><Relationship Id="rId42" Type="http://schemas.openxmlformats.org/officeDocument/2006/relationships/chart" Target="../charts/chart87.xml"/><Relationship Id="rId7" Type="http://schemas.openxmlformats.org/officeDocument/2006/relationships/chart" Target="../charts/chart53.xml"/><Relationship Id="rId12" Type="http://schemas.openxmlformats.org/officeDocument/2006/relationships/chart" Target="../charts/chart58.xml"/><Relationship Id="rId17" Type="http://schemas.openxmlformats.org/officeDocument/2006/relationships/chart" Target="../charts/chart63.xml"/><Relationship Id="rId25" Type="http://schemas.openxmlformats.org/officeDocument/2006/relationships/chart" Target="../charts/chart71.xml"/><Relationship Id="rId33" Type="http://schemas.openxmlformats.org/officeDocument/2006/relationships/chart" Target="../charts/chart79.xml"/><Relationship Id="rId38" Type="http://schemas.openxmlformats.org/officeDocument/2006/relationships/chart" Target="../charts/chart83.xml"/><Relationship Id="rId2" Type="http://schemas.openxmlformats.org/officeDocument/2006/relationships/chart" Target="../charts/chart48.xml"/><Relationship Id="rId16" Type="http://schemas.openxmlformats.org/officeDocument/2006/relationships/chart" Target="../charts/chart62.xml"/><Relationship Id="rId20" Type="http://schemas.openxmlformats.org/officeDocument/2006/relationships/chart" Target="../charts/chart66.xml"/><Relationship Id="rId29" Type="http://schemas.openxmlformats.org/officeDocument/2006/relationships/chart" Target="../charts/chart75.xml"/><Relationship Id="rId41" Type="http://schemas.openxmlformats.org/officeDocument/2006/relationships/chart" Target="../charts/chart86.xml"/><Relationship Id="rId1" Type="http://schemas.openxmlformats.org/officeDocument/2006/relationships/chart" Target="../charts/chart47.xml"/><Relationship Id="rId6" Type="http://schemas.openxmlformats.org/officeDocument/2006/relationships/chart" Target="../charts/chart52.xml"/><Relationship Id="rId11" Type="http://schemas.openxmlformats.org/officeDocument/2006/relationships/chart" Target="../charts/chart57.xml"/><Relationship Id="rId24" Type="http://schemas.openxmlformats.org/officeDocument/2006/relationships/chart" Target="../charts/chart70.xml"/><Relationship Id="rId32" Type="http://schemas.openxmlformats.org/officeDocument/2006/relationships/chart" Target="../charts/chart78.xml"/><Relationship Id="rId37" Type="http://schemas.openxmlformats.org/officeDocument/2006/relationships/chart" Target="../charts/chart82.xml"/><Relationship Id="rId40" Type="http://schemas.openxmlformats.org/officeDocument/2006/relationships/chart" Target="../charts/chart85.xml"/><Relationship Id="rId5" Type="http://schemas.openxmlformats.org/officeDocument/2006/relationships/chart" Target="../charts/chart51.xml"/><Relationship Id="rId15" Type="http://schemas.openxmlformats.org/officeDocument/2006/relationships/chart" Target="../charts/chart61.xml"/><Relationship Id="rId23" Type="http://schemas.openxmlformats.org/officeDocument/2006/relationships/chart" Target="../charts/chart69.xml"/><Relationship Id="rId28" Type="http://schemas.openxmlformats.org/officeDocument/2006/relationships/chart" Target="../charts/chart74.xml"/><Relationship Id="rId36" Type="http://schemas.openxmlformats.org/officeDocument/2006/relationships/chart" Target="../charts/chart81.xml"/><Relationship Id="rId10" Type="http://schemas.openxmlformats.org/officeDocument/2006/relationships/chart" Target="../charts/chart56.xml"/><Relationship Id="rId19" Type="http://schemas.openxmlformats.org/officeDocument/2006/relationships/chart" Target="../charts/chart65.xml"/><Relationship Id="rId31" Type="http://schemas.openxmlformats.org/officeDocument/2006/relationships/chart" Target="../charts/chart77.xml"/><Relationship Id="rId4" Type="http://schemas.openxmlformats.org/officeDocument/2006/relationships/chart" Target="../charts/chart50.xml"/><Relationship Id="rId9" Type="http://schemas.openxmlformats.org/officeDocument/2006/relationships/chart" Target="../charts/chart55.xml"/><Relationship Id="rId14" Type="http://schemas.openxmlformats.org/officeDocument/2006/relationships/chart" Target="../charts/chart60.xml"/><Relationship Id="rId22" Type="http://schemas.openxmlformats.org/officeDocument/2006/relationships/chart" Target="../charts/chart68.xml"/><Relationship Id="rId27" Type="http://schemas.openxmlformats.org/officeDocument/2006/relationships/chart" Target="../charts/chart73.xml"/><Relationship Id="rId30" Type="http://schemas.openxmlformats.org/officeDocument/2006/relationships/chart" Target="../charts/chart76.xml"/><Relationship Id="rId35" Type="http://schemas.openxmlformats.org/officeDocument/2006/relationships/image" Target="../media/image14.png"/><Relationship Id="rId43" Type="http://schemas.openxmlformats.org/officeDocument/2006/relationships/chart" Target="../charts/chart88.xml"/></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5.xml"/><Relationship Id="rId7" Type="http://schemas.openxmlformats.org/officeDocument/2006/relationships/chart" Target="../charts/chart39.xml"/><Relationship Id="rId2" Type="http://schemas.openxmlformats.org/officeDocument/2006/relationships/chart" Target="../charts/chart34.xml"/><Relationship Id="rId1" Type="http://schemas.openxmlformats.org/officeDocument/2006/relationships/chart" Target="../charts/chart33.xml"/><Relationship Id="rId6" Type="http://schemas.openxmlformats.org/officeDocument/2006/relationships/chart" Target="../charts/chart38.xml"/><Relationship Id="rId5" Type="http://schemas.openxmlformats.org/officeDocument/2006/relationships/chart" Target="../charts/chart37.xml"/><Relationship Id="rId4" Type="http://schemas.openxmlformats.org/officeDocument/2006/relationships/chart" Target="../charts/chart3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 Id="rId4" Type="http://schemas.openxmlformats.org/officeDocument/2006/relationships/chart" Target="../charts/chart4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chart" Target="../charts/chart44.xml"/></Relationships>
</file>

<file path=xl/drawings/drawing1.xml><?xml version="1.0" encoding="utf-8"?>
<xdr:wsDr xmlns:xdr="http://schemas.openxmlformats.org/drawingml/2006/spreadsheetDrawing" xmlns:a="http://schemas.openxmlformats.org/drawingml/2006/main">
  <xdr:twoCellAnchor>
    <xdr:from>
      <xdr:col>2</xdr:col>
      <xdr:colOff>29018</xdr:colOff>
      <xdr:row>23</xdr:row>
      <xdr:rowOff>74070</xdr:rowOff>
    </xdr:from>
    <xdr:to>
      <xdr:col>2</xdr:col>
      <xdr:colOff>1463748</xdr:colOff>
      <xdr:row>24</xdr:row>
      <xdr:rowOff>218055</xdr:rowOff>
    </xdr:to>
    <xdr:pic>
      <xdr:nvPicPr>
        <xdr:cNvPr id="17" name="Picture 3"/>
        <xdr:cNvPicPr>
          <a:picLocks noChangeAspect="1" noChangeArrowheads="1"/>
        </xdr:cNvPicPr>
      </xdr:nvPicPr>
      <xdr:blipFill>
        <a:blip xmlns:r="http://schemas.openxmlformats.org/officeDocument/2006/relationships" r:embed="rId1" cstate="print"/>
        <a:srcRect r="50416"/>
        <a:stretch>
          <a:fillRect/>
        </a:stretch>
      </xdr:blipFill>
      <xdr:spPr bwMode="auto">
        <a:xfrm>
          <a:off x="398355" y="10707080"/>
          <a:ext cx="1434730" cy="386970"/>
        </a:xfrm>
        <a:prstGeom prst="rect">
          <a:avLst/>
        </a:prstGeom>
        <a:solidFill>
          <a:schemeClr val="accent1"/>
        </a:solidFill>
        <a:ln w="9525">
          <a:noFill/>
          <a:round/>
          <a:headEnd/>
          <a:tailEnd/>
        </a:ln>
      </xdr:spPr>
    </xdr:pic>
    <xdr:clientData/>
  </xdr:twoCellAnchor>
  <xdr:twoCellAnchor editAs="oneCell">
    <xdr:from>
      <xdr:col>1</xdr:col>
      <xdr:colOff>95252</xdr:colOff>
      <xdr:row>1</xdr:row>
      <xdr:rowOff>97776</xdr:rowOff>
    </xdr:from>
    <xdr:to>
      <xdr:col>2</xdr:col>
      <xdr:colOff>1867185</xdr:colOff>
      <xdr:row>5</xdr:row>
      <xdr:rowOff>5165</xdr:rowOff>
    </xdr:to>
    <xdr:pic>
      <xdr:nvPicPr>
        <xdr:cNvPr id="19" name="Imagem 18" descr="portugal.png"/>
        <xdr:cNvPicPr>
          <a:picLocks noChangeAspect="1"/>
        </xdr:cNvPicPr>
      </xdr:nvPicPr>
      <xdr:blipFill>
        <a:blip xmlns:r="http://schemas.openxmlformats.org/officeDocument/2006/relationships" r:embed="rId2" cstate="print"/>
        <a:srcRect t="9053" b="6036"/>
        <a:stretch>
          <a:fillRect/>
        </a:stretch>
      </xdr:blipFill>
      <xdr:spPr>
        <a:xfrm>
          <a:off x="276227" y="221601"/>
          <a:ext cx="1952908" cy="917039"/>
        </a:xfrm>
        <a:prstGeom prst="rect">
          <a:avLst/>
        </a:prstGeom>
      </xdr:spPr>
    </xdr:pic>
    <xdr:clientData/>
  </xdr:twoCellAnchor>
  <xdr:twoCellAnchor>
    <xdr:from>
      <xdr:col>2</xdr:col>
      <xdr:colOff>28575</xdr:colOff>
      <xdr:row>25</xdr:row>
      <xdr:rowOff>228020</xdr:rowOff>
    </xdr:from>
    <xdr:to>
      <xdr:col>2</xdr:col>
      <xdr:colOff>1504575</xdr:colOff>
      <xdr:row>25</xdr:row>
      <xdr:rowOff>729951</xdr:rowOff>
    </xdr:to>
    <xdr:pic>
      <xdr:nvPicPr>
        <xdr:cNvPr id="22" name="Picture 6"/>
        <xdr:cNvPicPr>
          <a:picLocks noChangeAspect="1" noChangeArrowheads="1"/>
        </xdr:cNvPicPr>
      </xdr:nvPicPr>
      <xdr:blipFill>
        <a:blip xmlns:r="http://schemas.openxmlformats.org/officeDocument/2006/relationships" r:embed="rId3" cstate="print"/>
        <a:srcRect/>
        <a:stretch>
          <a:fillRect/>
        </a:stretch>
      </xdr:blipFill>
      <xdr:spPr bwMode="auto">
        <a:xfrm>
          <a:off x="397912" y="8363148"/>
          <a:ext cx="1476000" cy="501931"/>
        </a:xfrm>
        <a:prstGeom prst="rect">
          <a:avLst/>
        </a:prstGeom>
        <a:noFill/>
      </xdr:spPr>
    </xdr:pic>
    <xdr:clientData/>
  </xdr:twoCellAnchor>
  <xdr:twoCellAnchor>
    <xdr:from>
      <xdr:col>2</xdr:col>
      <xdr:colOff>1790699</xdr:colOff>
      <xdr:row>25</xdr:row>
      <xdr:rowOff>294693</xdr:rowOff>
    </xdr:from>
    <xdr:to>
      <xdr:col>3</xdr:col>
      <xdr:colOff>434699</xdr:colOff>
      <xdr:row>25</xdr:row>
      <xdr:rowOff>719318</xdr:rowOff>
    </xdr:to>
    <xdr:pic>
      <xdr:nvPicPr>
        <xdr:cNvPr id="23" name="Imagem 22" descr="centro_v16fev.png"/>
        <xdr:cNvPicPr>
          <a:picLocks noChangeAspect="1"/>
        </xdr:cNvPicPr>
      </xdr:nvPicPr>
      <xdr:blipFill>
        <a:blip xmlns:r="http://schemas.openxmlformats.org/officeDocument/2006/relationships" r:embed="rId4" cstate="print"/>
        <a:srcRect l="5429" t="38204" r="54197" b="42598"/>
        <a:stretch>
          <a:fillRect/>
        </a:stretch>
      </xdr:blipFill>
      <xdr:spPr>
        <a:xfrm>
          <a:off x="2160036" y="8429821"/>
          <a:ext cx="1695887" cy="424625"/>
        </a:xfrm>
        <a:prstGeom prst="rect">
          <a:avLst/>
        </a:prstGeom>
        <a:solidFill>
          <a:schemeClr val="accent1"/>
        </a:solidFill>
      </xdr:spPr>
    </xdr:pic>
    <xdr:clientData/>
  </xdr:twoCellAnchor>
  <xdr:twoCellAnchor>
    <xdr:from>
      <xdr:col>3</xdr:col>
      <xdr:colOff>628650</xdr:colOff>
      <xdr:row>25</xdr:row>
      <xdr:rowOff>199443</xdr:rowOff>
    </xdr:from>
    <xdr:to>
      <xdr:col>4</xdr:col>
      <xdr:colOff>250559</xdr:colOff>
      <xdr:row>26</xdr:row>
      <xdr:rowOff>13443</xdr:rowOff>
    </xdr:to>
    <xdr:pic>
      <xdr:nvPicPr>
        <xdr:cNvPr id="24" name="Picture 22"/>
        <xdr:cNvPicPr>
          <a:picLocks noChangeAspect="1" noChangeArrowheads="1"/>
        </xdr:cNvPicPr>
      </xdr:nvPicPr>
      <xdr:blipFill>
        <a:blip xmlns:r="http://schemas.openxmlformats.org/officeDocument/2006/relationships" r:embed="rId5" cstate="print"/>
        <a:srcRect/>
        <a:stretch>
          <a:fillRect/>
        </a:stretch>
      </xdr:blipFill>
      <xdr:spPr bwMode="auto">
        <a:xfrm>
          <a:off x="4049874" y="8334571"/>
          <a:ext cx="1332522" cy="572112"/>
        </a:xfrm>
        <a:prstGeom prst="rect">
          <a:avLst/>
        </a:prstGeom>
        <a:noFill/>
      </xdr:spPr>
    </xdr:pic>
    <xdr:clientData/>
  </xdr:twoCellAnchor>
  <xdr:twoCellAnchor>
    <xdr:from>
      <xdr:col>5</xdr:col>
      <xdr:colOff>76394</xdr:colOff>
      <xdr:row>24</xdr:row>
      <xdr:rowOff>170867</xdr:rowOff>
    </xdr:from>
    <xdr:to>
      <xdr:col>5</xdr:col>
      <xdr:colOff>1228394</xdr:colOff>
      <xdr:row>26</xdr:row>
      <xdr:rowOff>7763</xdr:rowOff>
    </xdr:to>
    <xdr:pic>
      <xdr:nvPicPr>
        <xdr:cNvPr id="25" name="Picture 14"/>
        <xdr:cNvPicPr>
          <a:picLocks noChangeAspect="1" noChangeArrowheads="1"/>
        </xdr:cNvPicPr>
      </xdr:nvPicPr>
      <xdr:blipFill>
        <a:blip xmlns:r="http://schemas.openxmlformats.org/officeDocument/2006/relationships" r:embed="rId6" cstate="print"/>
        <a:srcRect/>
        <a:stretch>
          <a:fillRect/>
        </a:stretch>
      </xdr:blipFill>
      <xdr:spPr bwMode="auto">
        <a:xfrm>
          <a:off x="5587287" y="8267117"/>
          <a:ext cx="1152000" cy="837993"/>
        </a:xfrm>
        <a:prstGeom prst="rect">
          <a:avLst/>
        </a:prstGeom>
        <a:noFill/>
      </xdr:spPr>
    </xdr:pic>
    <xdr:clientData/>
  </xdr:twoCellAnchor>
  <xdr:twoCellAnchor>
    <xdr:from>
      <xdr:col>5</xdr:col>
      <xdr:colOff>1419225</xdr:colOff>
      <xdr:row>25</xdr:row>
      <xdr:rowOff>247068</xdr:rowOff>
    </xdr:from>
    <xdr:to>
      <xdr:col>6</xdr:col>
      <xdr:colOff>27225</xdr:colOff>
      <xdr:row>25</xdr:row>
      <xdr:rowOff>754648</xdr:rowOff>
    </xdr:to>
    <xdr:pic>
      <xdr:nvPicPr>
        <xdr:cNvPr id="26" name="Picture 18"/>
        <xdr:cNvPicPr>
          <a:picLocks noChangeAspect="1" noChangeArrowheads="1"/>
        </xdr:cNvPicPr>
      </xdr:nvPicPr>
      <xdr:blipFill>
        <a:blip xmlns:r="http://schemas.openxmlformats.org/officeDocument/2006/relationships" r:embed="rId7" cstate="print"/>
        <a:srcRect/>
        <a:stretch>
          <a:fillRect/>
        </a:stretch>
      </xdr:blipFill>
      <xdr:spPr bwMode="auto">
        <a:xfrm>
          <a:off x="6930118" y="8382196"/>
          <a:ext cx="1659888" cy="507580"/>
        </a:xfrm>
        <a:prstGeom prst="rect">
          <a:avLst/>
        </a:prstGeom>
        <a:noFill/>
      </xdr:spPr>
    </xdr:pic>
    <xdr:clientData/>
  </xdr:twoCellAnchor>
  <xdr:twoCellAnchor>
    <xdr:from>
      <xdr:col>4</xdr:col>
      <xdr:colOff>309652</xdr:colOff>
      <xdr:row>7</xdr:row>
      <xdr:rowOff>39457</xdr:rowOff>
    </xdr:from>
    <xdr:to>
      <xdr:col>5</xdr:col>
      <xdr:colOff>2758377</xdr:colOff>
      <xdr:row>10</xdr:row>
      <xdr:rowOff>806632</xdr:rowOff>
    </xdr:to>
    <xdr:grpSp>
      <xdr:nvGrpSpPr>
        <xdr:cNvPr id="16" name="Grupo 15"/>
        <xdr:cNvGrpSpPr>
          <a:grpSpLocks noChangeAspect="1"/>
        </xdr:cNvGrpSpPr>
      </xdr:nvGrpSpPr>
      <xdr:grpSpPr>
        <a:xfrm>
          <a:off x="5434102" y="1420582"/>
          <a:ext cx="2829725" cy="4320000"/>
          <a:chOff x="4295775" y="647703"/>
          <a:chExt cx="2625000" cy="4017703"/>
        </a:xfrm>
      </xdr:grpSpPr>
      <xdr:pic>
        <xdr:nvPicPr>
          <xdr:cNvPr id="18" name="Imagem 17"/>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4295775" y="647703"/>
            <a:ext cx="2160000" cy="4017703"/>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20" name="logoPLS1"/>
          <xdr:cNvPicPr>
            <a:picLocks noChangeAspect="1" noChangeArrowheads="1"/>
          </xdr:cNvPicPr>
        </xdr:nvPicPr>
        <xdr:blipFill>
          <a:blip xmlns:r="http://schemas.openxmlformats.org/officeDocument/2006/relationships" r:embed="rId9" cstate="print"/>
          <a:srcRect/>
          <a:stretch>
            <a:fillRect/>
          </a:stretch>
        </xdr:blipFill>
        <xdr:spPr bwMode="auto">
          <a:xfrm>
            <a:off x="6200775" y="1285876"/>
            <a:ext cx="720000" cy="240289"/>
          </a:xfrm>
          <a:prstGeom prst="rect">
            <a:avLst/>
          </a:prstGeom>
          <a:noFill/>
        </xdr:spPr>
      </xdr:pic>
      <xdr:pic>
        <xdr:nvPicPr>
          <xdr:cNvPr id="27" name="logoPLS2"/>
          <xdr:cNvPicPr>
            <a:picLocks noChangeAspect="1" noChangeArrowheads="1"/>
          </xdr:cNvPicPr>
        </xdr:nvPicPr>
        <xdr:blipFill>
          <a:blip xmlns:r="http://schemas.openxmlformats.org/officeDocument/2006/relationships" r:embed="rId10" cstate="print"/>
          <a:srcRect/>
          <a:stretch>
            <a:fillRect/>
          </a:stretch>
        </xdr:blipFill>
        <xdr:spPr bwMode="auto">
          <a:xfrm>
            <a:off x="6124574" y="1914526"/>
            <a:ext cx="720000" cy="265631"/>
          </a:xfrm>
          <a:prstGeom prst="rect">
            <a:avLst/>
          </a:prstGeom>
          <a:noFill/>
        </xdr:spPr>
      </xdr:pic>
      <xdr:pic>
        <xdr:nvPicPr>
          <xdr:cNvPr id="28" name="logoPLS3"/>
          <xdr:cNvPicPr>
            <a:picLocks noChangeAspect="1" noChangeArrowheads="1"/>
          </xdr:cNvPicPr>
        </xdr:nvPicPr>
        <xdr:blipFill>
          <a:blip xmlns:r="http://schemas.openxmlformats.org/officeDocument/2006/relationships" r:embed="rId11" cstate="print"/>
          <a:srcRect/>
          <a:stretch>
            <a:fillRect/>
          </a:stretch>
        </xdr:blipFill>
        <xdr:spPr bwMode="auto">
          <a:xfrm>
            <a:off x="6105525" y="2600326"/>
            <a:ext cx="684000" cy="274113"/>
          </a:xfrm>
          <a:prstGeom prst="rect">
            <a:avLst/>
          </a:prstGeom>
          <a:noFill/>
        </xdr:spPr>
      </xdr:pic>
      <xdr:pic>
        <xdr:nvPicPr>
          <xdr:cNvPr id="29" name="logoPLS4"/>
          <xdr:cNvPicPr>
            <a:picLocks noChangeAspect="1" noChangeArrowheads="1"/>
          </xdr:cNvPicPr>
        </xdr:nvPicPr>
        <xdr:blipFill>
          <a:blip xmlns:r="http://schemas.openxmlformats.org/officeDocument/2006/relationships" r:embed="rId12" cstate="print"/>
          <a:srcRect/>
          <a:stretch>
            <a:fillRect/>
          </a:stretch>
        </xdr:blipFill>
        <xdr:spPr bwMode="auto">
          <a:xfrm>
            <a:off x="6067425" y="3228976"/>
            <a:ext cx="684000" cy="282041"/>
          </a:xfrm>
          <a:prstGeom prst="rect">
            <a:avLst/>
          </a:prstGeom>
          <a:noFill/>
        </xdr:spPr>
      </xdr:pic>
      <xdr:pic>
        <xdr:nvPicPr>
          <xdr:cNvPr id="30" name="logoPLS5"/>
          <xdr:cNvPicPr>
            <a:picLocks noChangeAspect="1" noChangeArrowheads="1"/>
          </xdr:cNvPicPr>
        </xdr:nvPicPr>
        <xdr:blipFill>
          <a:blip xmlns:r="http://schemas.openxmlformats.org/officeDocument/2006/relationships" r:embed="rId13" cstate="print"/>
          <a:srcRect/>
          <a:stretch>
            <a:fillRect/>
          </a:stretch>
        </xdr:blipFill>
        <xdr:spPr bwMode="auto">
          <a:xfrm>
            <a:off x="5905500" y="3962400"/>
            <a:ext cx="720000" cy="236120"/>
          </a:xfrm>
          <a:prstGeom prst="rect">
            <a:avLst/>
          </a:prstGeom>
          <a:noFill/>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18</xdr:row>
      <xdr:rowOff>9524</xdr:rowOff>
    </xdr:from>
    <xdr:to>
      <xdr:col>10</xdr:col>
      <xdr:colOff>2016000</xdr:colOff>
      <xdr:row>18</xdr:row>
      <xdr:rowOff>261524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19</xdr:row>
      <xdr:rowOff>9525</xdr:rowOff>
    </xdr:from>
    <xdr:to>
      <xdr:col>10</xdr:col>
      <xdr:colOff>2016000</xdr:colOff>
      <xdr:row>19</xdr:row>
      <xdr:rowOff>261525</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20</xdr:row>
      <xdr:rowOff>9525</xdr:rowOff>
    </xdr:from>
    <xdr:to>
      <xdr:col>10</xdr:col>
      <xdr:colOff>2016000</xdr:colOff>
      <xdr:row>20</xdr:row>
      <xdr:rowOff>261525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21</xdr:row>
      <xdr:rowOff>19050</xdr:rowOff>
    </xdr:from>
    <xdr:to>
      <xdr:col>10</xdr:col>
      <xdr:colOff>2016000</xdr:colOff>
      <xdr:row>21</xdr:row>
      <xdr:rowOff>271050</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22</xdr:row>
      <xdr:rowOff>9525</xdr:rowOff>
    </xdr:from>
    <xdr:to>
      <xdr:col>10</xdr:col>
      <xdr:colOff>2016000</xdr:colOff>
      <xdr:row>22</xdr:row>
      <xdr:rowOff>261525</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28</xdr:row>
      <xdr:rowOff>19050</xdr:rowOff>
    </xdr:from>
    <xdr:to>
      <xdr:col>10</xdr:col>
      <xdr:colOff>2016000</xdr:colOff>
      <xdr:row>28</xdr:row>
      <xdr:rowOff>271050</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0</xdr:colOff>
      <xdr:row>29</xdr:row>
      <xdr:rowOff>19050</xdr:rowOff>
    </xdr:from>
    <xdr:to>
      <xdr:col>10</xdr:col>
      <xdr:colOff>2016000</xdr:colOff>
      <xdr:row>29</xdr:row>
      <xdr:rowOff>271050</xdr:rowOff>
    </xdr:to>
    <xdr:graphicFrame macro="">
      <xdr:nvGraphicFramePr>
        <xdr:cNvPr id="13" name="Grá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30</xdr:row>
      <xdr:rowOff>19050</xdr:rowOff>
    </xdr:from>
    <xdr:to>
      <xdr:col>10</xdr:col>
      <xdr:colOff>2016000</xdr:colOff>
      <xdr:row>30</xdr:row>
      <xdr:rowOff>271050</xdr:rowOff>
    </xdr:to>
    <xdr:graphicFrame macro="">
      <xdr:nvGraphicFramePr>
        <xdr:cNvPr id="15" name="Gráfico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33</xdr:row>
      <xdr:rowOff>47625</xdr:rowOff>
    </xdr:from>
    <xdr:to>
      <xdr:col>10</xdr:col>
      <xdr:colOff>2016000</xdr:colOff>
      <xdr:row>33</xdr:row>
      <xdr:rowOff>299625</xdr:rowOff>
    </xdr:to>
    <xdr:graphicFrame macro="">
      <xdr:nvGraphicFramePr>
        <xdr:cNvPr id="16" name="Gráfico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0</xdr:colOff>
      <xdr:row>39</xdr:row>
      <xdr:rowOff>19050</xdr:rowOff>
    </xdr:from>
    <xdr:to>
      <xdr:col>10</xdr:col>
      <xdr:colOff>2016000</xdr:colOff>
      <xdr:row>39</xdr:row>
      <xdr:rowOff>271050</xdr:rowOff>
    </xdr:to>
    <xdr:graphicFrame macro="">
      <xdr:nvGraphicFramePr>
        <xdr:cNvPr id="17" name="Gráfico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0</xdr:colOff>
      <xdr:row>40</xdr:row>
      <xdr:rowOff>19050</xdr:rowOff>
    </xdr:from>
    <xdr:to>
      <xdr:col>10</xdr:col>
      <xdr:colOff>2016000</xdr:colOff>
      <xdr:row>40</xdr:row>
      <xdr:rowOff>271050</xdr:rowOff>
    </xdr:to>
    <xdr:graphicFrame macro="">
      <xdr:nvGraphicFramePr>
        <xdr:cNvPr id="18" name="Gráfico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342900</xdr:colOff>
      <xdr:row>50</xdr:row>
      <xdr:rowOff>19050</xdr:rowOff>
    </xdr:from>
    <xdr:to>
      <xdr:col>10</xdr:col>
      <xdr:colOff>2006475</xdr:colOff>
      <xdr:row>50</xdr:row>
      <xdr:rowOff>271050</xdr:rowOff>
    </xdr:to>
    <xdr:graphicFrame macro="">
      <xdr:nvGraphicFramePr>
        <xdr:cNvPr id="20" name="Gráfico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0</xdr:colOff>
      <xdr:row>52</xdr:row>
      <xdr:rowOff>19050</xdr:rowOff>
    </xdr:from>
    <xdr:to>
      <xdr:col>10</xdr:col>
      <xdr:colOff>2016000</xdr:colOff>
      <xdr:row>52</xdr:row>
      <xdr:rowOff>271050</xdr:rowOff>
    </xdr:to>
    <xdr:graphicFrame macro="">
      <xdr:nvGraphicFramePr>
        <xdr:cNvPr id="22" name="Gráfico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xdr:col>
      <xdr:colOff>0</xdr:colOff>
      <xdr:row>53</xdr:row>
      <xdr:rowOff>9525</xdr:rowOff>
    </xdr:from>
    <xdr:to>
      <xdr:col>10</xdr:col>
      <xdr:colOff>2016000</xdr:colOff>
      <xdr:row>53</xdr:row>
      <xdr:rowOff>261525</xdr:rowOff>
    </xdr:to>
    <xdr:graphicFrame macro="">
      <xdr:nvGraphicFramePr>
        <xdr:cNvPr id="23" name="Gráfico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0</xdr:colOff>
      <xdr:row>54</xdr:row>
      <xdr:rowOff>9525</xdr:rowOff>
    </xdr:from>
    <xdr:to>
      <xdr:col>10</xdr:col>
      <xdr:colOff>2016000</xdr:colOff>
      <xdr:row>54</xdr:row>
      <xdr:rowOff>261525</xdr:rowOff>
    </xdr:to>
    <xdr:graphicFrame macro="">
      <xdr:nvGraphicFramePr>
        <xdr:cNvPr id="24" name="Gráfico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0</xdr:colOff>
      <xdr:row>56</xdr:row>
      <xdr:rowOff>19050</xdr:rowOff>
    </xdr:from>
    <xdr:to>
      <xdr:col>10</xdr:col>
      <xdr:colOff>2016000</xdr:colOff>
      <xdr:row>56</xdr:row>
      <xdr:rowOff>271050</xdr:rowOff>
    </xdr:to>
    <xdr:graphicFrame macro="">
      <xdr:nvGraphicFramePr>
        <xdr:cNvPr id="25" name="Gráfico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0</xdr:colOff>
      <xdr:row>57</xdr:row>
      <xdr:rowOff>9525</xdr:rowOff>
    </xdr:from>
    <xdr:to>
      <xdr:col>10</xdr:col>
      <xdr:colOff>2016000</xdr:colOff>
      <xdr:row>57</xdr:row>
      <xdr:rowOff>261525</xdr:rowOff>
    </xdr:to>
    <xdr:graphicFrame macro="">
      <xdr:nvGraphicFramePr>
        <xdr:cNvPr id="26" name="Gráfico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xdr:col>
      <xdr:colOff>0</xdr:colOff>
      <xdr:row>58</xdr:row>
      <xdr:rowOff>19050</xdr:rowOff>
    </xdr:from>
    <xdr:to>
      <xdr:col>10</xdr:col>
      <xdr:colOff>2016000</xdr:colOff>
      <xdr:row>58</xdr:row>
      <xdr:rowOff>271050</xdr:rowOff>
    </xdr:to>
    <xdr:graphicFrame macro="">
      <xdr:nvGraphicFramePr>
        <xdr:cNvPr id="27" name="Gráfico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xdr:col>
      <xdr:colOff>0</xdr:colOff>
      <xdr:row>59</xdr:row>
      <xdr:rowOff>19050</xdr:rowOff>
    </xdr:from>
    <xdr:to>
      <xdr:col>10</xdr:col>
      <xdr:colOff>2016000</xdr:colOff>
      <xdr:row>59</xdr:row>
      <xdr:rowOff>271050</xdr:rowOff>
    </xdr:to>
    <xdr:graphicFrame macro="">
      <xdr:nvGraphicFramePr>
        <xdr:cNvPr id="28" name="Gráfico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10</xdr:col>
      <xdr:colOff>0</xdr:colOff>
      <xdr:row>60</xdr:row>
      <xdr:rowOff>19050</xdr:rowOff>
    </xdr:from>
    <xdr:to>
      <xdr:col>10</xdr:col>
      <xdr:colOff>2016000</xdr:colOff>
      <xdr:row>60</xdr:row>
      <xdr:rowOff>271050</xdr:rowOff>
    </xdr:to>
    <xdr:graphicFrame macro="">
      <xdr:nvGraphicFramePr>
        <xdr:cNvPr id="29" name="Gráfico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10</xdr:col>
      <xdr:colOff>0</xdr:colOff>
      <xdr:row>61</xdr:row>
      <xdr:rowOff>19050</xdr:rowOff>
    </xdr:from>
    <xdr:to>
      <xdr:col>10</xdr:col>
      <xdr:colOff>2016000</xdr:colOff>
      <xdr:row>61</xdr:row>
      <xdr:rowOff>271050</xdr:rowOff>
    </xdr:to>
    <xdr:graphicFrame macro="">
      <xdr:nvGraphicFramePr>
        <xdr:cNvPr id="30" name="Gráfico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9</xdr:col>
      <xdr:colOff>342900</xdr:colOff>
      <xdr:row>62</xdr:row>
      <xdr:rowOff>19050</xdr:rowOff>
    </xdr:from>
    <xdr:to>
      <xdr:col>10</xdr:col>
      <xdr:colOff>2006475</xdr:colOff>
      <xdr:row>62</xdr:row>
      <xdr:rowOff>271050</xdr:rowOff>
    </xdr:to>
    <xdr:graphicFrame macro="">
      <xdr:nvGraphicFramePr>
        <xdr:cNvPr id="31" name="Gráfico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10</xdr:col>
      <xdr:colOff>0</xdr:colOff>
      <xdr:row>63</xdr:row>
      <xdr:rowOff>19050</xdr:rowOff>
    </xdr:from>
    <xdr:to>
      <xdr:col>10</xdr:col>
      <xdr:colOff>2016000</xdr:colOff>
      <xdr:row>63</xdr:row>
      <xdr:rowOff>271050</xdr:rowOff>
    </xdr:to>
    <xdr:graphicFrame macro="">
      <xdr:nvGraphicFramePr>
        <xdr:cNvPr id="32" name="Gráfico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10</xdr:col>
      <xdr:colOff>0</xdr:colOff>
      <xdr:row>64</xdr:row>
      <xdr:rowOff>19050</xdr:rowOff>
    </xdr:from>
    <xdr:to>
      <xdr:col>10</xdr:col>
      <xdr:colOff>2016000</xdr:colOff>
      <xdr:row>64</xdr:row>
      <xdr:rowOff>271050</xdr:rowOff>
    </xdr:to>
    <xdr:graphicFrame macro="">
      <xdr:nvGraphicFramePr>
        <xdr:cNvPr id="33" name="Gráfico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10</xdr:col>
      <xdr:colOff>0</xdr:colOff>
      <xdr:row>65</xdr:row>
      <xdr:rowOff>19050</xdr:rowOff>
    </xdr:from>
    <xdr:to>
      <xdr:col>10</xdr:col>
      <xdr:colOff>2016000</xdr:colOff>
      <xdr:row>65</xdr:row>
      <xdr:rowOff>271050</xdr:rowOff>
    </xdr:to>
    <xdr:graphicFrame macro="">
      <xdr:nvGraphicFramePr>
        <xdr:cNvPr id="34" name="Gráfico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10</xdr:col>
      <xdr:colOff>0</xdr:colOff>
      <xdr:row>66</xdr:row>
      <xdr:rowOff>19050</xdr:rowOff>
    </xdr:from>
    <xdr:to>
      <xdr:col>10</xdr:col>
      <xdr:colOff>2016000</xdr:colOff>
      <xdr:row>66</xdr:row>
      <xdr:rowOff>271050</xdr:rowOff>
    </xdr:to>
    <xdr:graphicFrame macro="">
      <xdr:nvGraphicFramePr>
        <xdr:cNvPr id="35" name="Gráfico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10</xdr:col>
      <xdr:colOff>0</xdr:colOff>
      <xdr:row>67</xdr:row>
      <xdr:rowOff>19050</xdr:rowOff>
    </xdr:from>
    <xdr:to>
      <xdr:col>10</xdr:col>
      <xdr:colOff>2016000</xdr:colOff>
      <xdr:row>67</xdr:row>
      <xdr:rowOff>271050</xdr:rowOff>
    </xdr:to>
    <xdr:graphicFrame macro="">
      <xdr:nvGraphicFramePr>
        <xdr:cNvPr id="36" name="Gráfico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10</xdr:col>
      <xdr:colOff>0</xdr:colOff>
      <xdr:row>68</xdr:row>
      <xdr:rowOff>19050</xdr:rowOff>
    </xdr:from>
    <xdr:to>
      <xdr:col>10</xdr:col>
      <xdr:colOff>2016000</xdr:colOff>
      <xdr:row>68</xdr:row>
      <xdr:rowOff>271050</xdr:rowOff>
    </xdr:to>
    <xdr:graphicFrame macro="">
      <xdr:nvGraphicFramePr>
        <xdr:cNvPr id="37" name="Gráfico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10</xdr:col>
      <xdr:colOff>0</xdr:colOff>
      <xdr:row>70</xdr:row>
      <xdr:rowOff>19050</xdr:rowOff>
    </xdr:from>
    <xdr:to>
      <xdr:col>10</xdr:col>
      <xdr:colOff>2016000</xdr:colOff>
      <xdr:row>70</xdr:row>
      <xdr:rowOff>271050</xdr:rowOff>
    </xdr:to>
    <xdr:graphicFrame macro="">
      <xdr:nvGraphicFramePr>
        <xdr:cNvPr id="38" name="Gráfico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10</xdr:col>
      <xdr:colOff>0</xdr:colOff>
      <xdr:row>71</xdr:row>
      <xdr:rowOff>19050</xdr:rowOff>
    </xdr:from>
    <xdr:to>
      <xdr:col>10</xdr:col>
      <xdr:colOff>2016000</xdr:colOff>
      <xdr:row>71</xdr:row>
      <xdr:rowOff>271050</xdr:rowOff>
    </xdr:to>
    <xdr:graphicFrame macro="">
      <xdr:nvGraphicFramePr>
        <xdr:cNvPr id="39" name="Gráfico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9</xdr:col>
      <xdr:colOff>342900</xdr:colOff>
      <xdr:row>72</xdr:row>
      <xdr:rowOff>19050</xdr:rowOff>
    </xdr:from>
    <xdr:to>
      <xdr:col>10</xdr:col>
      <xdr:colOff>2006475</xdr:colOff>
      <xdr:row>72</xdr:row>
      <xdr:rowOff>271050</xdr:rowOff>
    </xdr:to>
    <xdr:graphicFrame macro="">
      <xdr:nvGraphicFramePr>
        <xdr:cNvPr id="40" name="Gráfico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10</xdr:col>
      <xdr:colOff>0</xdr:colOff>
      <xdr:row>73</xdr:row>
      <xdr:rowOff>19050</xdr:rowOff>
    </xdr:from>
    <xdr:to>
      <xdr:col>10</xdr:col>
      <xdr:colOff>2016000</xdr:colOff>
      <xdr:row>73</xdr:row>
      <xdr:rowOff>271050</xdr:rowOff>
    </xdr:to>
    <xdr:graphicFrame macro="">
      <xdr:nvGraphicFramePr>
        <xdr:cNvPr id="41" name="Gráfico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10</xdr:col>
      <xdr:colOff>9525</xdr:colOff>
      <xdr:row>74</xdr:row>
      <xdr:rowOff>19050</xdr:rowOff>
    </xdr:from>
    <xdr:to>
      <xdr:col>10</xdr:col>
      <xdr:colOff>2025525</xdr:colOff>
      <xdr:row>74</xdr:row>
      <xdr:rowOff>271050</xdr:rowOff>
    </xdr:to>
    <xdr:graphicFrame macro="">
      <xdr:nvGraphicFramePr>
        <xdr:cNvPr id="42" name="Gráfico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6</xdr:col>
      <xdr:colOff>628650</xdr:colOff>
      <xdr:row>9</xdr:row>
      <xdr:rowOff>152400</xdr:rowOff>
    </xdr:from>
    <xdr:to>
      <xdr:col>9</xdr:col>
      <xdr:colOff>253875</xdr:colOff>
      <xdr:row>11</xdr:row>
      <xdr:rowOff>23400</xdr:rowOff>
    </xdr:to>
    <xdr:graphicFrame macro="">
      <xdr:nvGraphicFramePr>
        <xdr:cNvPr id="47" name="Gráfico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2</xdr:col>
      <xdr:colOff>2485040</xdr:colOff>
      <xdr:row>9</xdr:row>
      <xdr:rowOff>0</xdr:rowOff>
    </xdr:from>
    <xdr:to>
      <xdr:col>5</xdr:col>
      <xdr:colOff>66675</xdr:colOff>
      <xdr:row>12</xdr:row>
      <xdr:rowOff>57150</xdr:rowOff>
    </xdr:to>
    <xdr:grpSp>
      <xdr:nvGrpSpPr>
        <xdr:cNvPr id="54" name="Grupo 53"/>
        <xdr:cNvGrpSpPr/>
      </xdr:nvGrpSpPr>
      <xdr:grpSpPr>
        <a:xfrm>
          <a:off x="2780315" y="1771650"/>
          <a:ext cx="1058260" cy="628650"/>
          <a:chOff x="780065" y="1615786"/>
          <a:chExt cx="1058260" cy="571500"/>
        </a:xfrm>
      </xdr:grpSpPr>
      <xdr:sp macro="" textlink="">
        <xdr:nvSpPr>
          <xdr:cNvPr id="53" name="CaixaDeTexto 52"/>
          <xdr:cNvSpPr txBox="1"/>
        </xdr:nvSpPr>
        <xdr:spPr>
          <a:xfrm>
            <a:off x="838200" y="1615786"/>
            <a:ext cx="100012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40000"/>
              </a:lnSpc>
            </a:pPr>
            <a:r>
              <a:rPr lang="pt-PT" sz="800">
                <a:latin typeface="Arial" pitchFamily="34" charset="0"/>
                <a:cs typeface="Arial" pitchFamily="34" charset="0"/>
              </a:rPr>
              <a:t>Continente</a:t>
            </a:r>
          </a:p>
          <a:p>
            <a:pPr>
              <a:lnSpc>
                <a:spcPct val="140000"/>
              </a:lnSpc>
            </a:pPr>
            <a:r>
              <a:rPr lang="pt-PT" sz="800">
                <a:latin typeface="Arial" pitchFamily="34" charset="0"/>
                <a:cs typeface="Arial" pitchFamily="34" charset="0"/>
              </a:rPr>
              <a:t>ARS</a:t>
            </a:r>
          </a:p>
          <a:p>
            <a:pPr>
              <a:lnSpc>
                <a:spcPct val="140000"/>
              </a:lnSpc>
            </a:pPr>
            <a:r>
              <a:rPr lang="pt-PT" sz="800">
                <a:latin typeface="Arial" pitchFamily="34" charset="0"/>
                <a:cs typeface="Arial" pitchFamily="34" charset="0"/>
              </a:rPr>
              <a:t>ACeS/ULS</a:t>
            </a:r>
          </a:p>
        </xdr:txBody>
      </xdr:sp>
      <xdr:pic>
        <xdr:nvPicPr>
          <xdr:cNvPr id="1026" name="Picture 2"/>
          <xdr:cNvPicPr>
            <a:picLocks noChangeAspect="1" noChangeArrowheads="1"/>
          </xdr:cNvPicPr>
        </xdr:nvPicPr>
        <xdr:blipFill>
          <a:blip xmlns:r="http://schemas.openxmlformats.org/officeDocument/2006/relationships" r:embed="rId35" cstate="print"/>
          <a:srcRect r="83568"/>
          <a:stretch>
            <a:fillRect/>
          </a:stretch>
        </xdr:blipFill>
        <xdr:spPr bwMode="auto">
          <a:xfrm>
            <a:off x="780065" y="1651766"/>
            <a:ext cx="126000" cy="472730"/>
          </a:xfrm>
          <a:prstGeom prst="rect">
            <a:avLst/>
          </a:prstGeom>
          <a:noFill/>
        </xdr:spPr>
      </xdr:pic>
    </xdr:grpSp>
    <xdr:clientData/>
  </xdr:twoCellAnchor>
  <xdr:twoCellAnchor>
    <xdr:from>
      <xdr:col>7</xdr:col>
      <xdr:colOff>47625</xdr:colOff>
      <xdr:row>10</xdr:row>
      <xdr:rowOff>180977</xdr:rowOff>
    </xdr:from>
    <xdr:to>
      <xdr:col>9</xdr:col>
      <xdr:colOff>123825</xdr:colOff>
      <xdr:row>11</xdr:row>
      <xdr:rowOff>171451</xdr:rowOff>
    </xdr:to>
    <xdr:sp macro="" textlink="">
      <xdr:nvSpPr>
        <xdr:cNvPr id="55" name="CaixaDeTexto 54"/>
        <xdr:cNvSpPr txBox="1"/>
      </xdr:nvSpPr>
      <xdr:spPr>
        <a:xfrm>
          <a:off x="4981575" y="2143127"/>
          <a:ext cx="1504950" cy="180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pt-PT" sz="800">
              <a:latin typeface="Arial" pitchFamily="34" charset="0"/>
              <a:cs typeface="Arial" pitchFamily="34" charset="0"/>
            </a:rPr>
            <a:t>1º Quartil</a:t>
          </a:r>
          <a:r>
            <a:rPr lang="pt-PT" sz="800" baseline="0">
              <a:latin typeface="Arial" pitchFamily="34" charset="0"/>
              <a:cs typeface="Arial" pitchFamily="34" charset="0"/>
            </a:rPr>
            <a:t>                3ºQuartil</a:t>
          </a:r>
          <a:endParaRPr lang="pt-PT" sz="800">
            <a:latin typeface="Arial" pitchFamily="34" charset="0"/>
            <a:cs typeface="Arial" pitchFamily="34" charset="0"/>
          </a:endParaRPr>
        </a:p>
      </xdr:txBody>
    </xdr:sp>
    <xdr:clientData/>
  </xdr:twoCellAnchor>
  <xdr:twoCellAnchor>
    <xdr:from>
      <xdr:col>7</xdr:col>
      <xdr:colOff>466725</xdr:colOff>
      <xdr:row>9</xdr:row>
      <xdr:rowOff>9524</xdr:rowOff>
    </xdr:from>
    <xdr:to>
      <xdr:col>8</xdr:col>
      <xdr:colOff>400050</xdr:colOff>
      <xdr:row>9</xdr:row>
      <xdr:rowOff>180975</xdr:rowOff>
    </xdr:to>
    <xdr:sp macro="" textlink="">
      <xdr:nvSpPr>
        <xdr:cNvPr id="56" name="CaixaDeTexto 55"/>
        <xdr:cNvSpPr txBox="1"/>
      </xdr:nvSpPr>
      <xdr:spPr>
        <a:xfrm>
          <a:off x="5400675" y="1781174"/>
          <a:ext cx="647700" cy="171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pt-PT" sz="800">
              <a:latin typeface="Arial" pitchFamily="34" charset="0"/>
              <a:cs typeface="Arial" pitchFamily="34" charset="0"/>
            </a:rPr>
            <a:t>Mediana</a:t>
          </a:r>
        </a:p>
      </xdr:txBody>
    </xdr:sp>
    <xdr:clientData/>
  </xdr:twoCellAnchor>
  <xdr:twoCellAnchor editAs="absolute">
    <xdr:from>
      <xdr:col>10</xdr:col>
      <xdr:colOff>9525</xdr:colOff>
      <xdr:row>76</xdr:row>
      <xdr:rowOff>19050</xdr:rowOff>
    </xdr:from>
    <xdr:to>
      <xdr:col>10</xdr:col>
      <xdr:colOff>2025525</xdr:colOff>
      <xdr:row>77</xdr:row>
      <xdr:rowOff>1175</xdr:rowOff>
    </xdr:to>
    <xdr:graphicFrame macro="">
      <xdr:nvGraphicFramePr>
        <xdr:cNvPr id="49" name="Gráfico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absolute">
    <xdr:from>
      <xdr:col>10</xdr:col>
      <xdr:colOff>9525</xdr:colOff>
      <xdr:row>77</xdr:row>
      <xdr:rowOff>9525</xdr:rowOff>
    </xdr:from>
    <xdr:to>
      <xdr:col>10</xdr:col>
      <xdr:colOff>2025525</xdr:colOff>
      <xdr:row>77</xdr:row>
      <xdr:rowOff>261525</xdr:rowOff>
    </xdr:to>
    <xdr:graphicFrame macro="">
      <xdr:nvGraphicFramePr>
        <xdr:cNvPr id="50" name="Gráfico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absolute">
    <xdr:from>
      <xdr:col>10</xdr:col>
      <xdr:colOff>0</xdr:colOff>
      <xdr:row>78</xdr:row>
      <xdr:rowOff>9525</xdr:rowOff>
    </xdr:from>
    <xdr:to>
      <xdr:col>10</xdr:col>
      <xdr:colOff>2016000</xdr:colOff>
      <xdr:row>78</xdr:row>
      <xdr:rowOff>267875</xdr:rowOff>
    </xdr:to>
    <xdr:graphicFrame macro="">
      <xdr:nvGraphicFramePr>
        <xdr:cNvPr id="51" name="Gráfico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10</xdr:col>
      <xdr:colOff>0</xdr:colOff>
      <xdr:row>31</xdr:row>
      <xdr:rowOff>19050</xdr:rowOff>
    </xdr:from>
    <xdr:to>
      <xdr:col>10</xdr:col>
      <xdr:colOff>2016000</xdr:colOff>
      <xdr:row>31</xdr:row>
      <xdr:rowOff>271050</xdr:rowOff>
    </xdr:to>
    <xdr:graphicFrame macro="">
      <xdr:nvGraphicFramePr>
        <xdr:cNvPr id="57" name="Gráfico 5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10</xdr:col>
      <xdr:colOff>0</xdr:colOff>
      <xdr:row>32</xdr:row>
      <xdr:rowOff>47625</xdr:rowOff>
    </xdr:from>
    <xdr:to>
      <xdr:col>10</xdr:col>
      <xdr:colOff>2016000</xdr:colOff>
      <xdr:row>32</xdr:row>
      <xdr:rowOff>299625</xdr:rowOff>
    </xdr:to>
    <xdr:graphicFrame macro="">
      <xdr:nvGraphicFramePr>
        <xdr:cNvPr id="58" name="Gráfico 5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10</xdr:col>
      <xdr:colOff>0</xdr:colOff>
      <xdr:row>42</xdr:row>
      <xdr:rowOff>19050</xdr:rowOff>
    </xdr:from>
    <xdr:to>
      <xdr:col>10</xdr:col>
      <xdr:colOff>2016000</xdr:colOff>
      <xdr:row>42</xdr:row>
      <xdr:rowOff>271050</xdr:rowOff>
    </xdr:to>
    <xdr:graphicFrame macro="">
      <xdr:nvGraphicFramePr>
        <xdr:cNvPr id="59" name="Gráfico 5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10</xdr:col>
      <xdr:colOff>0</xdr:colOff>
      <xdr:row>43</xdr:row>
      <xdr:rowOff>19050</xdr:rowOff>
    </xdr:from>
    <xdr:to>
      <xdr:col>10</xdr:col>
      <xdr:colOff>2016000</xdr:colOff>
      <xdr:row>43</xdr:row>
      <xdr:rowOff>271050</xdr:rowOff>
    </xdr:to>
    <xdr:graphicFrame macro="">
      <xdr:nvGraphicFramePr>
        <xdr:cNvPr id="60" name="Gráfico 5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10</xdr:col>
      <xdr:colOff>0</xdr:colOff>
      <xdr:row>44</xdr:row>
      <xdr:rowOff>19050</xdr:rowOff>
    </xdr:from>
    <xdr:to>
      <xdr:col>10</xdr:col>
      <xdr:colOff>2016000</xdr:colOff>
      <xdr:row>44</xdr:row>
      <xdr:rowOff>271050</xdr:rowOff>
    </xdr:to>
    <xdr:graphicFrame macro="">
      <xdr:nvGraphicFramePr>
        <xdr:cNvPr id="61" name="Gráfico 6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209551</xdr:colOff>
      <xdr:row>6</xdr:row>
      <xdr:rowOff>180975</xdr:rowOff>
    </xdr:from>
    <xdr:to>
      <xdr:col>9</xdr:col>
      <xdr:colOff>638176</xdr:colOff>
      <xdr:row>15</xdr:row>
      <xdr:rowOff>238125</xdr:rowOff>
    </xdr:to>
    <xdr:sp macro="" textlink="">
      <xdr:nvSpPr>
        <xdr:cNvPr id="1025" name="Caixa1"/>
        <xdr:cNvSpPr>
          <a:spLocks noChangeArrowheads="1"/>
        </xdr:cNvSpPr>
      </xdr:nvSpPr>
      <xdr:spPr bwMode="auto">
        <a:xfrm>
          <a:off x="4933951" y="1619250"/>
          <a:ext cx="4000500" cy="2286000"/>
        </a:xfrm>
        <a:prstGeom prst="flowChartAlternateProcess">
          <a:avLst/>
        </a:prstGeom>
        <a:solidFill>
          <a:srgbClr val="008080"/>
        </a:solidFill>
        <a:ln w="9525">
          <a:solidFill>
            <a:srgbClr val="D8D8D8"/>
          </a:solidFill>
          <a:miter lim="800000"/>
          <a:headEnd/>
          <a:tailEnd/>
        </a:ln>
        <a:effectLst>
          <a:outerShdw dist="107763" dir="2700000" algn="ctr" rotWithShape="0">
            <a:srgbClr val="808080">
              <a:alpha val="50000"/>
            </a:srgbClr>
          </a:outerShdw>
        </a:effectLst>
      </xdr:spPr>
      <xdr:txBody>
        <a:bodyPr vertOverflow="clip" wrap="square" lIns="91440" tIns="45720" rIns="91440" bIns="45720" anchor="t" upright="1"/>
        <a:lstStyle/>
        <a:p>
          <a:pPr algn="l" rtl="1">
            <a:lnSpc>
              <a:spcPct val="150000"/>
            </a:lnSpc>
            <a:spcBef>
              <a:spcPts val="600"/>
            </a:spcBef>
            <a:defRPr sz="1000"/>
          </a:pPr>
          <a:endParaRPr lang="pt-PT" sz="1100" b="0" i="0" strike="noStrike">
            <a:solidFill>
              <a:srgbClr val="FFFFFF"/>
            </a:solidFill>
            <a:latin typeface="Arial" pitchFamily="34" charset="0"/>
            <a:cs typeface="Arial" pitchFamily="34" charset="0"/>
          </a:endParaRPr>
        </a:p>
      </xdr:txBody>
    </xdr:sp>
    <xdr:clientData/>
  </xdr:twoCellAnchor>
  <xdr:oneCellAnchor>
    <xdr:from>
      <xdr:col>2</xdr:col>
      <xdr:colOff>9525</xdr:colOff>
      <xdr:row>26</xdr:row>
      <xdr:rowOff>19050</xdr:rowOff>
    </xdr:from>
    <xdr:ext cx="4029075" cy="190621"/>
    <xdr:sp macro="" textlink="">
      <xdr:nvSpPr>
        <xdr:cNvPr id="7" name="caixa2"/>
        <xdr:cNvSpPr txBox="1">
          <a:spLocks noChangeArrowheads="1"/>
        </xdr:cNvSpPr>
      </xdr:nvSpPr>
      <xdr:spPr bwMode="auto">
        <a:xfrm>
          <a:off x="371475" y="6610350"/>
          <a:ext cx="4029075" cy="190621"/>
        </a:xfrm>
        <a:prstGeom prst="rect">
          <a:avLst/>
        </a:prstGeom>
        <a:solidFill>
          <a:srgbClr val="FFFFFF"/>
        </a:solidFill>
        <a:ln w="9525">
          <a:noFill/>
          <a:miter lim="800000"/>
          <a:headEnd/>
          <a:tailEnd/>
        </a:ln>
      </xdr:spPr>
      <xdr:txBody>
        <a:bodyPr vertOverflow="clip" wrap="square" lIns="36000" tIns="36000" rIns="36000" bIns="36000" anchor="t" anchorCtr="1" upright="1">
          <a:spAutoFit/>
        </a:bodyPr>
        <a:lstStyle/>
        <a:p>
          <a:pPr marL="0" marR="0" indent="0" algn="l" defTabSz="914400" rtl="1" eaLnBrk="1" fontAlgn="auto" latinLnBrk="0" hangingPunct="1">
            <a:lnSpc>
              <a:spcPct val="100000"/>
            </a:lnSpc>
            <a:spcBef>
              <a:spcPts val="0"/>
            </a:spcBef>
            <a:spcAft>
              <a:spcPts val="0"/>
            </a:spcAft>
            <a:buClrTx/>
            <a:buSzTx/>
            <a:buFontTx/>
            <a:buNone/>
            <a:tabLst/>
            <a:defRPr sz="1000"/>
          </a:pPr>
          <a:endParaRPr lang="pt-PT" sz="800" b="0" i="0" strike="noStrike">
            <a:solidFill>
              <a:srgbClr val="008080"/>
            </a:solidFill>
            <a:latin typeface="Arial" pitchFamily="34" charset="0"/>
            <a:cs typeface="Arial" pitchFamily="34" charset="0"/>
          </a:endParaRPr>
        </a:p>
      </xdr:txBody>
    </xdr:sp>
    <xdr:clientData/>
  </xdr:oneCellAnchor>
  <xdr:oneCellAnchor>
    <xdr:from>
      <xdr:col>4</xdr:col>
      <xdr:colOff>247650</xdr:colOff>
      <xdr:row>26</xdr:row>
      <xdr:rowOff>19050</xdr:rowOff>
    </xdr:from>
    <xdr:ext cx="4029075" cy="190621"/>
    <xdr:sp macro="" textlink="">
      <xdr:nvSpPr>
        <xdr:cNvPr id="9" name="caixa3"/>
        <xdr:cNvSpPr txBox="1">
          <a:spLocks noChangeArrowheads="1"/>
        </xdr:cNvSpPr>
      </xdr:nvSpPr>
      <xdr:spPr bwMode="auto">
        <a:xfrm>
          <a:off x="4972050" y="6610350"/>
          <a:ext cx="4029075" cy="190621"/>
        </a:xfrm>
        <a:prstGeom prst="rect">
          <a:avLst/>
        </a:prstGeom>
        <a:solidFill>
          <a:srgbClr val="FFFFFF"/>
        </a:solidFill>
        <a:ln w="9525">
          <a:noFill/>
          <a:miter lim="800000"/>
          <a:headEnd/>
          <a:tailEnd/>
        </a:ln>
      </xdr:spPr>
      <xdr:txBody>
        <a:bodyPr vertOverflow="clip" wrap="square" lIns="36000" tIns="36000" rIns="36000" bIns="36000" anchor="t" anchorCtr="1" upright="1">
          <a:spAutoFit/>
        </a:bodyPr>
        <a:lstStyle/>
        <a:p>
          <a:pPr marL="0" marR="0" indent="0" algn="l" defTabSz="914400" rtl="1" eaLnBrk="1" fontAlgn="auto" latinLnBrk="0" hangingPunct="1">
            <a:lnSpc>
              <a:spcPct val="100000"/>
            </a:lnSpc>
            <a:spcBef>
              <a:spcPts val="0"/>
            </a:spcBef>
            <a:spcAft>
              <a:spcPts val="0"/>
            </a:spcAft>
            <a:buClrTx/>
            <a:buSzTx/>
            <a:buFontTx/>
            <a:buNone/>
            <a:tabLst/>
            <a:defRPr sz="1000"/>
          </a:pPr>
          <a:endParaRPr lang="pt-PT" sz="800" b="0" i="0" strike="noStrike">
            <a:solidFill>
              <a:srgbClr val="008080"/>
            </a:solidFill>
            <a:latin typeface="Arial" pitchFamily="34" charset="0"/>
            <a:cs typeface="Arial"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absolute">
    <xdr:from>
      <xdr:col>6</xdr:col>
      <xdr:colOff>460375</xdr:colOff>
      <xdr:row>103</xdr:row>
      <xdr:rowOff>38099</xdr:rowOff>
    </xdr:from>
    <xdr:to>
      <xdr:col>13</xdr:col>
      <xdr:colOff>431650</xdr:colOff>
      <xdr:row>115</xdr:row>
      <xdr:rowOff>144074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39</xdr:row>
      <xdr:rowOff>66675</xdr:rowOff>
    </xdr:from>
    <xdr:to>
      <xdr:col>5</xdr:col>
      <xdr:colOff>588300</xdr:colOff>
      <xdr:row>58</xdr:row>
      <xdr:rowOff>122400</xdr:rowOff>
    </xdr:to>
    <xdr:graphicFrame macro="">
      <xdr:nvGraphicFramePr>
        <xdr:cNvPr id="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6</xdr:col>
      <xdr:colOff>412750</xdr:colOff>
      <xdr:row>39</xdr:row>
      <xdr:rowOff>66675</xdr:rowOff>
    </xdr:from>
    <xdr:to>
      <xdr:col>13</xdr:col>
      <xdr:colOff>420025</xdr:colOff>
      <xdr:row>58</xdr:row>
      <xdr:rowOff>122400</xdr:rowOff>
    </xdr:to>
    <xdr:graphicFrame macro="">
      <xdr:nvGraphicFramePr>
        <xdr:cNvPr id="10"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6</xdr:col>
      <xdr:colOff>460374</xdr:colOff>
      <xdr:row>65</xdr:row>
      <xdr:rowOff>38100</xdr:rowOff>
    </xdr:from>
    <xdr:to>
      <xdr:col>13</xdr:col>
      <xdr:colOff>431649</xdr:colOff>
      <xdr:row>80</xdr:row>
      <xdr:rowOff>1200</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82</xdr:row>
      <xdr:rowOff>28575</xdr:rowOff>
    </xdr:from>
    <xdr:to>
      <xdr:col>5</xdr:col>
      <xdr:colOff>552300</xdr:colOff>
      <xdr:row>96</xdr:row>
      <xdr:rowOff>86925</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6</xdr:col>
      <xdr:colOff>460375</xdr:colOff>
      <xdr:row>82</xdr:row>
      <xdr:rowOff>19050</xdr:rowOff>
    </xdr:from>
    <xdr:to>
      <xdr:col>13</xdr:col>
      <xdr:colOff>431650</xdr:colOff>
      <xdr:row>96</xdr:row>
      <xdr:rowOff>77400</xdr:rowOff>
    </xdr:to>
    <xdr:graphicFrame macro="">
      <xdr:nvGraphicFramePr>
        <xdr:cNvPr id="13" name="Grá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6</xdr:col>
      <xdr:colOff>460375</xdr:colOff>
      <xdr:row>118</xdr:row>
      <xdr:rowOff>28574</xdr:rowOff>
    </xdr:from>
    <xdr:to>
      <xdr:col>13</xdr:col>
      <xdr:colOff>431650</xdr:colOff>
      <xdr:row>129</xdr:row>
      <xdr:rowOff>57224</xdr:rowOff>
    </xdr:to>
    <xdr:graphicFrame macro="">
      <xdr:nvGraphicFramePr>
        <xdr:cNvPr id="14" name="Grá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9525</xdr:colOff>
      <xdr:row>146</xdr:row>
      <xdr:rowOff>0</xdr:rowOff>
    </xdr:from>
    <xdr:to>
      <xdr:col>5</xdr:col>
      <xdr:colOff>561825</xdr:colOff>
      <xdr:row>159</xdr:row>
      <xdr:rowOff>115500</xdr:rowOff>
    </xdr:to>
    <xdr:graphicFrame macro="">
      <xdr:nvGraphicFramePr>
        <xdr:cNvPr id="15" name="Gráfico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7</xdr:col>
      <xdr:colOff>12699</xdr:colOff>
      <xdr:row>146</xdr:row>
      <xdr:rowOff>9525</xdr:rowOff>
    </xdr:from>
    <xdr:to>
      <xdr:col>14</xdr:col>
      <xdr:colOff>12549</xdr:colOff>
      <xdr:row>159</xdr:row>
      <xdr:rowOff>125025</xdr:rowOff>
    </xdr:to>
    <xdr:graphicFrame macro="">
      <xdr:nvGraphicFramePr>
        <xdr:cNvPr id="16" name="Gráfico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295275</xdr:colOff>
      <xdr:row>154</xdr:row>
      <xdr:rowOff>152400</xdr:rowOff>
    </xdr:from>
    <xdr:to>
      <xdr:col>5</xdr:col>
      <xdr:colOff>504826</xdr:colOff>
      <xdr:row>156</xdr:row>
      <xdr:rowOff>9525</xdr:rowOff>
    </xdr:to>
    <xdr:sp macro="" textlink="">
      <xdr:nvSpPr>
        <xdr:cNvPr id="17" name="CaixaDeTexto 16"/>
        <xdr:cNvSpPr txBox="1"/>
      </xdr:nvSpPr>
      <xdr:spPr>
        <a:xfrm>
          <a:off x="2876550" y="30299025"/>
          <a:ext cx="1504951"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pt-PT" sz="1000">
              <a:solidFill>
                <a:srgbClr val="008080"/>
              </a:solidFill>
              <a:latin typeface="Times New Roman" pitchFamily="18" charset="0"/>
              <a:cs typeface="Times New Roman" pitchFamily="18" charset="0"/>
            </a:rPr>
            <a:t>I</a:t>
          </a:r>
          <a:r>
            <a:rPr lang="pt-PT" sz="1100">
              <a:solidFill>
                <a:srgbClr val="008080"/>
              </a:solidFill>
              <a:latin typeface="Times New Roman" pitchFamily="18" charset="0"/>
              <a:cs typeface="Times New Roman" pitchFamily="18" charset="0"/>
            </a:rPr>
            <a:t> </a:t>
          </a:r>
          <a:r>
            <a:rPr lang="pt-PT" sz="700">
              <a:solidFill>
                <a:schemeClr val="tx1">
                  <a:lumMod val="50000"/>
                  <a:lumOff val="50000"/>
                </a:schemeClr>
              </a:solidFill>
              <a:latin typeface="Arial" pitchFamily="34" charset="0"/>
              <a:cs typeface="Arial" pitchFamily="34" charset="0"/>
            </a:rPr>
            <a:t>- Intervalo de Confiança a 95%</a:t>
          </a:r>
        </a:p>
      </xdr:txBody>
    </xdr:sp>
    <xdr:clientData/>
  </xdr:twoCellAnchor>
  <xdr:twoCellAnchor>
    <xdr:from>
      <xdr:col>11</xdr:col>
      <xdr:colOff>190500</xdr:colOff>
      <xdr:row>154</xdr:row>
      <xdr:rowOff>161925</xdr:rowOff>
    </xdr:from>
    <xdr:to>
      <xdr:col>13</xdr:col>
      <xdr:colOff>504826</xdr:colOff>
      <xdr:row>156</xdr:row>
      <xdr:rowOff>19050</xdr:rowOff>
    </xdr:to>
    <xdr:sp macro="" textlink="">
      <xdr:nvSpPr>
        <xdr:cNvPr id="18" name="CaixaDeTexto 17"/>
        <xdr:cNvSpPr txBox="1"/>
      </xdr:nvSpPr>
      <xdr:spPr>
        <a:xfrm>
          <a:off x="7734300" y="30308550"/>
          <a:ext cx="1514476"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pt-PT" sz="1000">
              <a:solidFill>
                <a:srgbClr val="008080"/>
              </a:solidFill>
              <a:latin typeface="Times New Roman" pitchFamily="18" charset="0"/>
              <a:cs typeface="Times New Roman" pitchFamily="18" charset="0"/>
            </a:rPr>
            <a:t>I</a:t>
          </a:r>
          <a:r>
            <a:rPr lang="pt-PT" sz="1100">
              <a:solidFill>
                <a:srgbClr val="008080"/>
              </a:solidFill>
              <a:latin typeface="Times New Roman" pitchFamily="18" charset="0"/>
              <a:cs typeface="Times New Roman" pitchFamily="18" charset="0"/>
            </a:rPr>
            <a:t> </a:t>
          </a:r>
          <a:r>
            <a:rPr lang="pt-PT" sz="700">
              <a:solidFill>
                <a:schemeClr val="tx1">
                  <a:lumMod val="50000"/>
                  <a:lumOff val="50000"/>
                </a:schemeClr>
              </a:solidFill>
              <a:latin typeface="Arial" pitchFamily="34" charset="0"/>
              <a:cs typeface="Arial" pitchFamily="34" charset="0"/>
            </a:rPr>
            <a:t>- Intervalo de Confiança a 95%</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295275</xdr:colOff>
      <xdr:row>16</xdr:row>
      <xdr:rowOff>38100</xdr:rowOff>
    </xdr:from>
    <xdr:to>
      <xdr:col>9</xdr:col>
      <xdr:colOff>938625</xdr:colOff>
      <xdr:row>33</xdr:row>
      <xdr:rowOff>50100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76200</xdr:colOff>
      <xdr:row>36</xdr:row>
      <xdr:rowOff>47625</xdr:rowOff>
    </xdr:from>
    <xdr:to>
      <xdr:col>4</xdr:col>
      <xdr:colOff>776700</xdr:colOff>
      <xdr:row>52</xdr:row>
      <xdr:rowOff>2475</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295276</xdr:colOff>
      <xdr:row>57</xdr:row>
      <xdr:rowOff>38100</xdr:rowOff>
    </xdr:from>
    <xdr:to>
      <xdr:col>9</xdr:col>
      <xdr:colOff>938626</xdr:colOff>
      <xdr:row>73</xdr:row>
      <xdr:rowOff>1500</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6</xdr:col>
      <xdr:colOff>219075</xdr:colOff>
      <xdr:row>129</xdr:row>
      <xdr:rowOff>47625</xdr:rowOff>
    </xdr:from>
    <xdr:to>
      <xdr:col>10</xdr:col>
      <xdr:colOff>9075</xdr:colOff>
      <xdr:row>148</xdr:row>
      <xdr:rowOff>11025</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88</xdr:row>
      <xdr:rowOff>38099</xdr:rowOff>
    </xdr:from>
    <xdr:to>
      <xdr:col>4</xdr:col>
      <xdr:colOff>664500</xdr:colOff>
      <xdr:row>101</xdr:row>
      <xdr:rowOff>81599</xdr:rowOff>
    </xdr:to>
    <xdr:graphicFrame macro="">
      <xdr:nvGraphicFramePr>
        <xdr:cNvPr id="14" name="Grá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5</xdr:col>
      <xdr:colOff>342900</xdr:colOff>
      <xdr:row>88</xdr:row>
      <xdr:rowOff>38099</xdr:rowOff>
    </xdr:from>
    <xdr:to>
      <xdr:col>9</xdr:col>
      <xdr:colOff>950250</xdr:colOff>
      <xdr:row>101</xdr:row>
      <xdr:rowOff>81599</xdr:rowOff>
    </xdr:to>
    <xdr:graphicFrame macro="">
      <xdr:nvGraphicFramePr>
        <xdr:cNvPr id="15" name="Gráfico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5</xdr:col>
      <xdr:colOff>295275</xdr:colOff>
      <xdr:row>109</xdr:row>
      <xdr:rowOff>28575</xdr:rowOff>
    </xdr:from>
    <xdr:to>
      <xdr:col>9</xdr:col>
      <xdr:colOff>902625</xdr:colOff>
      <xdr:row>123</xdr:row>
      <xdr:rowOff>58350</xdr:rowOff>
    </xdr:to>
    <xdr:graphicFrame macro="">
      <xdr:nvGraphicFramePr>
        <xdr:cNvPr id="17" name="Gráfico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5</xdr:col>
      <xdr:colOff>304800</xdr:colOff>
      <xdr:row>36</xdr:row>
      <xdr:rowOff>47625</xdr:rowOff>
    </xdr:from>
    <xdr:to>
      <xdr:col>9</xdr:col>
      <xdr:colOff>948150</xdr:colOff>
      <xdr:row>52</xdr:row>
      <xdr:rowOff>2475</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161925</xdr:colOff>
      <xdr:row>21</xdr:row>
      <xdr:rowOff>9525</xdr:rowOff>
    </xdr:from>
    <xdr:to>
      <xdr:col>6</xdr:col>
      <xdr:colOff>37950</xdr:colOff>
      <xdr:row>34</xdr:row>
      <xdr:rowOff>125025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571499</xdr:colOff>
      <xdr:row>21</xdr:row>
      <xdr:rowOff>0</xdr:rowOff>
    </xdr:from>
    <xdr:to>
      <xdr:col>14</xdr:col>
      <xdr:colOff>6199</xdr:colOff>
      <xdr:row>34</xdr:row>
      <xdr:rowOff>115500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161925</xdr:colOff>
      <xdr:row>53</xdr:row>
      <xdr:rowOff>9525</xdr:rowOff>
    </xdr:from>
    <xdr:to>
      <xdr:col>1</xdr:col>
      <xdr:colOff>1744950</xdr:colOff>
      <xdr:row>57</xdr:row>
      <xdr:rowOff>323325</xdr:rowOff>
    </xdr:to>
    <xdr:graphicFrame macro="">
      <xdr:nvGraphicFramePr>
        <xdr:cNvPr id="8" name="GrafC01_D1H"/>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53</xdr:row>
      <xdr:rowOff>9525</xdr:rowOff>
    </xdr:from>
    <xdr:to>
      <xdr:col>7</xdr:col>
      <xdr:colOff>554325</xdr:colOff>
      <xdr:row>57</xdr:row>
      <xdr:rowOff>323325</xdr:rowOff>
    </xdr:to>
    <xdr:graphicFrame macro="">
      <xdr:nvGraphicFramePr>
        <xdr:cNvPr id="9" name="GrafC01_D1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161925</xdr:colOff>
      <xdr:row>62</xdr:row>
      <xdr:rowOff>9525</xdr:rowOff>
    </xdr:from>
    <xdr:to>
      <xdr:col>1</xdr:col>
      <xdr:colOff>1744950</xdr:colOff>
      <xdr:row>66</xdr:row>
      <xdr:rowOff>323325</xdr:rowOff>
    </xdr:to>
    <xdr:graphicFrame macro="">
      <xdr:nvGraphicFramePr>
        <xdr:cNvPr id="10" name="GrafC01_D2H"/>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9525</xdr:colOff>
      <xdr:row>62</xdr:row>
      <xdr:rowOff>9525</xdr:rowOff>
    </xdr:from>
    <xdr:to>
      <xdr:col>7</xdr:col>
      <xdr:colOff>554325</xdr:colOff>
      <xdr:row>66</xdr:row>
      <xdr:rowOff>323325</xdr:rowOff>
    </xdr:to>
    <xdr:graphicFrame macro="">
      <xdr:nvGraphicFramePr>
        <xdr:cNvPr id="11" name="GrafC01_D2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6</xdr:col>
      <xdr:colOff>590550</xdr:colOff>
      <xdr:row>47</xdr:row>
      <xdr:rowOff>57149</xdr:rowOff>
    </xdr:from>
    <xdr:to>
      <xdr:col>14</xdr:col>
      <xdr:colOff>18900</xdr:colOff>
      <xdr:row>59</xdr:row>
      <xdr:rowOff>163124</xdr:rowOff>
    </xdr:to>
    <xdr:graphicFrame macro="">
      <xdr:nvGraphicFramePr>
        <xdr:cNvPr id="13" name="Grá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152400</xdr:colOff>
      <xdr:row>77</xdr:row>
      <xdr:rowOff>0</xdr:rowOff>
    </xdr:from>
    <xdr:to>
      <xdr:col>6</xdr:col>
      <xdr:colOff>28425</xdr:colOff>
      <xdr:row>89</xdr:row>
      <xdr:rowOff>306000</xdr:rowOff>
    </xdr:to>
    <xdr:graphicFrame macro="">
      <xdr:nvGraphicFramePr>
        <xdr:cNvPr id="14" name="Grá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6</xdr:col>
      <xdr:colOff>561975</xdr:colOff>
      <xdr:row>76</xdr:row>
      <xdr:rowOff>47625</xdr:rowOff>
    </xdr:from>
    <xdr:to>
      <xdr:col>13</xdr:col>
      <xdr:colOff>599925</xdr:colOff>
      <xdr:row>89</xdr:row>
      <xdr:rowOff>296475</xdr:rowOff>
    </xdr:to>
    <xdr:graphicFrame macro="">
      <xdr:nvGraphicFramePr>
        <xdr:cNvPr id="16" name="Gráfico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161925</xdr:colOff>
      <xdr:row>94</xdr:row>
      <xdr:rowOff>28575</xdr:rowOff>
    </xdr:from>
    <xdr:to>
      <xdr:col>6</xdr:col>
      <xdr:colOff>37950</xdr:colOff>
      <xdr:row>106</xdr:row>
      <xdr:rowOff>334575</xdr:rowOff>
    </xdr:to>
    <xdr:graphicFrame macro="">
      <xdr:nvGraphicFramePr>
        <xdr:cNvPr id="15" name="Gráfico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6</xdr:col>
      <xdr:colOff>571500</xdr:colOff>
      <xdr:row>94</xdr:row>
      <xdr:rowOff>19050</xdr:rowOff>
    </xdr:from>
    <xdr:to>
      <xdr:col>14</xdr:col>
      <xdr:colOff>6200</xdr:colOff>
      <xdr:row>106</xdr:row>
      <xdr:rowOff>325050</xdr:rowOff>
    </xdr:to>
    <xdr:graphicFrame macro="">
      <xdr:nvGraphicFramePr>
        <xdr:cNvPr id="17" name="Gráfico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0</xdr:col>
      <xdr:colOff>171450</xdr:colOff>
      <xdr:row>111</xdr:row>
      <xdr:rowOff>28575</xdr:rowOff>
    </xdr:from>
    <xdr:to>
      <xdr:col>6</xdr:col>
      <xdr:colOff>47475</xdr:colOff>
      <xdr:row>123</xdr:row>
      <xdr:rowOff>334575</xdr:rowOff>
    </xdr:to>
    <xdr:graphicFrame macro="">
      <xdr:nvGraphicFramePr>
        <xdr:cNvPr id="18" name="Gráfico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6</xdr:col>
      <xdr:colOff>581025</xdr:colOff>
      <xdr:row>111</xdr:row>
      <xdr:rowOff>19050</xdr:rowOff>
    </xdr:from>
    <xdr:to>
      <xdr:col>14</xdr:col>
      <xdr:colOff>9375</xdr:colOff>
      <xdr:row>123</xdr:row>
      <xdr:rowOff>325050</xdr:rowOff>
    </xdr:to>
    <xdr:graphicFrame macro="">
      <xdr:nvGraphicFramePr>
        <xdr:cNvPr id="19" name="Gráfico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28</xdr:row>
      <xdr:rowOff>9525</xdr:rowOff>
    </xdr:from>
    <xdr:to>
      <xdr:col>6</xdr:col>
      <xdr:colOff>57000</xdr:colOff>
      <xdr:row>41</xdr:row>
      <xdr:rowOff>125025</xdr:rowOff>
    </xdr:to>
    <xdr:graphicFrame macro="">
      <xdr:nvGraphicFramePr>
        <xdr:cNvPr id="20" name="Gráfico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6</xdr:col>
      <xdr:colOff>590550</xdr:colOff>
      <xdr:row>28</xdr:row>
      <xdr:rowOff>0</xdr:rowOff>
    </xdr:from>
    <xdr:to>
      <xdr:col>14</xdr:col>
      <xdr:colOff>18900</xdr:colOff>
      <xdr:row>41</xdr:row>
      <xdr:rowOff>115500</xdr:rowOff>
    </xdr:to>
    <xdr:graphicFrame macro="">
      <xdr:nvGraphicFramePr>
        <xdr:cNvPr id="21" name="Gráfico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44</xdr:row>
      <xdr:rowOff>85725</xdr:rowOff>
    </xdr:from>
    <xdr:to>
      <xdr:col>14</xdr:col>
      <xdr:colOff>9525</xdr:colOff>
      <xdr:row>62</xdr:row>
      <xdr:rowOff>184725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67</xdr:row>
      <xdr:rowOff>104775</xdr:rowOff>
    </xdr:from>
    <xdr:to>
      <xdr:col>8</xdr:col>
      <xdr:colOff>523875</xdr:colOff>
      <xdr:row>82</xdr:row>
      <xdr:rowOff>127275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523876</xdr:colOff>
      <xdr:row>67</xdr:row>
      <xdr:rowOff>104774</xdr:rowOff>
    </xdr:from>
    <xdr:to>
      <xdr:col>13</xdr:col>
      <xdr:colOff>485775</xdr:colOff>
      <xdr:row>82</xdr:row>
      <xdr:rowOff>123823</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82</xdr:row>
      <xdr:rowOff>123825</xdr:rowOff>
    </xdr:from>
    <xdr:to>
      <xdr:col>3</xdr:col>
      <xdr:colOff>609599</xdr:colOff>
      <xdr:row>97</xdr:row>
      <xdr:rowOff>142874</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82</xdr:row>
      <xdr:rowOff>123825</xdr:rowOff>
    </xdr:from>
    <xdr:to>
      <xdr:col>8</xdr:col>
      <xdr:colOff>523874</xdr:colOff>
      <xdr:row>97</xdr:row>
      <xdr:rowOff>142874</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523875</xdr:colOff>
      <xdr:row>82</xdr:row>
      <xdr:rowOff>114300</xdr:rowOff>
    </xdr:from>
    <xdr:to>
      <xdr:col>13</xdr:col>
      <xdr:colOff>485774</xdr:colOff>
      <xdr:row>97</xdr:row>
      <xdr:rowOff>133349</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21</xdr:row>
      <xdr:rowOff>85725</xdr:rowOff>
    </xdr:from>
    <xdr:to>
      <xdr:col>14</xdr:col>
      <xdr:colOff>1</xdr:colOff>
      <xdr:row>39</xdr:row>
      <xdr:rowOff>184725</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49</xdr:row>
      <xdr:rowOff>38100</xdr:rowOff>
    </xdr:from>
    <xdr:to>
      <xdr:col>2</xdr:col>
      <xdr:colOff>10725</xdr:colOff>
      <xdr:row>71</xdr:row>
      <xdr:rowOff>298200</xdr:rowOff>
    </xdr:to>
    <xdr:graphicFrame macro="">
      <xdr:nvGraphicFramePr>
        <xdr:cNvPr id="7" name="GrafD04_D1H"/>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9524</xdr:colOff>
      <xdr:row>49</xdr:row>
      <xdr:rowOff>19050</xdr:rowOff>
    </xdr:from>
    <xdr:to>
      <xdr:col>11</xdr:col>
      <xdr:colOff>506024</xdr:colOff>
      <xdr:row>71</xdr:row>
      <xdr:rowOff>279150</xdr:rowOff>
    </xdr:to>
    <xdr:graphicFrame macro="">
      <xdr:nvGraphicFramePr>
        <xdr:cNvPr id="8" name="GrafD04_D1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xdr:colOff>
      <xdr:row>76</xdr:row>
      <xdr:rowOff>38100</xdr:rowOff>
    </xdr:from>
    <xdr:to>
      <xdr:col>1</xdr:col>
      <xdr:colOff>2677725</xdr:colOff>
      <xdr:row>98</xdr:row>
      <xdr:rowOff>298200</xdr:rowOff>
    </xdr:to>
    <xdr:graphicFrame macro="">
      <xdr:nvGraphicFramePr>
        <xdr:cNvPr id="11" name="GrafD04_D2H"/>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9524</xdr:colOff>
      <xdr:row>76</xdr:row>
      <xdr:rowOff>9525</xdr:rowOff>
    </xdr:from>
    <xdr:to>
      <xdr:col>11</xdr:col>
      <xdr:colOff>506024</xdr:colOff>
      <xdr:row>98</xdr:row>
      <xdr:rowOff>269625</xdr:rowOff>
    </xdr:to>
    <xdr:graphicFrame macro="">
      <xdr:nvGraphicFramePr>
        <xdr:cNvPr id="12" name="GrafD04_D2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161924</xdr:colOff>
      <xdr:row>36</xdr:row>
      <xdr:rowOff>0</xdr:rowOff>
    </xdr:from>
    <xdr:to>
      <xdr:col>7</xdr:col>
      <xdr:colOff>18899</xdr:colOff>
      <xdr:row>51</xdr:row>
      <xdr:rowOff>22500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590549</xdr:colOff>
      <xdr:row>36</xdr:row>
      <xdr:rowOff>0</xdr:rowOff>
    </xdr:from>
    <xdr:to>
      <xdr:col>16</xdr:col>
      <xdr:colOff>6199</xdr:colOff>
      <xdr:row>51</xdr:row>
      <xdr:rowOff>22500</xdr:rowOff>
    </xdr:to>
    <xdr:graphicFrame macro="">
      <xdr:nvGraphicFramePr>
        <xdr:cNvPr id="13" name="Grá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161925</xdr:colOff>
      <xdr:row>98</xdr:row>
      <xdr:rowOff>57150</xdr:rowOff>
    </xdr:from>
    <xdr:to>
      <xdr:col>7</xdr:col>
      <xdr:colOff>18900</xdr:colOff>
      <xdr:row>114</xdr:row>
      <xdr:rowOff>22500</xdr:rowOff>
    </xdr:to>
    <xdr:graphicFrame macro="">
      <xdr:nvGraphicFramePr>
        <xdr:cNvPr id="197" name="Gráfico 19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olha15"/>
  <dimension ref="A1:H28"/>
  <sheetViews>
    <sheetView tabSelected="1" zoomScaleNormal="100" workbookViewId="0"/>
  </sheetViews>
  <sheetFormatPr defaultRowHeight="14.25"/>
  <cols>
    <col min="1" max="2" width="2.7109375" style="6" customWidth="1"/>
    <col min="3" max="3" width="45.7109375" style="6" customWidth="1"/>
    <col min="4" max="4" width="25.7109375" style="6" customWidth="1"/>
    <col min="5" max="5" width="5.7109375" style="6" customWidth="1"/>
    <col min="6" max="6" width="42.7109375" style="6" customWidth="1"/>
    <col min="7" max="8" width="2.7109375" style="6" customWidth="1"/>
    <col min="9" max="16384" width="9.140625" style="6"/>
  </cols>
  <sheetData>
    <row r="1" spans="1:8" ht="9.9499999999999993" customHeight="1" thickBot="1">
      <c r="A1" s="571"/>
      <c r="B1" s="571"/>
      <c r="C1" s="571"/>
      <c r="D1" s="571"/>
      <c r="E1" s="571"/>
      <c r="F1" s="571"/>
      <c r="G1" s="571"/>
      <c r="H1" s="571"/>
    </row>
    <row r="2" spans="1:8" ht="9.9499999999999993" customHeight="1" thickTop="1">
      <c r="A2" s="571"/>
      <c r="B2" s="177"/>
      <c r="C2" s="178"/>
      <c r="D2" s="178"/>
      <c r="E2" s="178"/>
      <c r="F2" s="178"/>
      <c r="G2" s="179"/>
      <c r="H2" s="571"/>
    </row>
    <row r="3" spans="1:8" ht="30" customHeight="1">
      <c r="A3" s="571"/>
      <c r="B3" s="180"/>
      <c r="C3" s="151"/>
      <c r="D3" s="604"/>
      <c r="E3" s="604"/>
      <c r="F3" s="604"/>
      <c r="G3" s="181"/>
      <c r="H3" s="571"/>
    </row>
    <row r="4" spans="1:8" ht="9.9499999999999993" customHeight="1">
      <c r="A4" s="571"/>
      <c r="B4" s="180"/>
      <c r="C4" s="574"/>
      <c r="D4" s="574"/>
      <c r="E4" s="574"/>
      <c r="F4" s="574"/>
      <c r="G4" s="181"/>
      <c r="H4" s="571"/>
    </row>
    <row r="5" spans="1:8" ht="30" customHeight="1">
      <c r="A5" s="571"/>
      <c r="B5" s="180"/>
      <c r="C5" s="574"/>
      <c r="D5" s="574"/>
      <c r="E5" s="574"/>
      <c r="F5" s="582" t="s">
        <v>97</v>
      </c>
      <c r="G5" s="181"/>
      <c r="H5" s="571"/>
    </row>
    <row r="6" spans="1:8" ht="9.9499999999999993" customHeight="1">
      <c r="A6" s="571"/>
      <c r="B6" s="180"/>
      <c r="C6" s="575"/>
      <c r="D6" s="575"/>
      <c r="E6" s="574"/>
      <c r="F6" s="574"/>
      <c r="G6" s="181"/>
      <c r="H6" s="571"/>
    </row>
    <row r="7" spans="1:8" ht="9.9499999999999993" customHeight="1">
      <c r="A7" s="571"/>
      <c r="B7" s="180"/>
      <c r="C7" s="151"/>
      <c r="D7" s="151"/>
      <c r="E7" s="576"/>
      <c r="F7" s="576"/>
      <c r="G7" s="181"/>
      <c r="H7" s="571"/>
    </row>
    <row r="8" spans="1:8" ht="90" customHeight="1">
      <c r="A8" s="571"/>
      <c r="B8" s="180"/>
      <c r="C8" s="605" t="s">
        <v>680</v>
      </c>
      <c r="D8" s="605"/>
      <c r="E8" s="576"/>
      <c r="F8" s="576"/>
      <c r="G8" s="181"/>
      <c r="H8" s="571"/>
    </row>
    <row r="9" spans="1:8" ht="60" customHeight="1">
      <c r="A9" s="571"/>
      <c r="B9" s="180"/>
      <c r="C9" s="605" t="s">
        <v>681</v>
      </c>
      <c r="D9" s="605"/>
      <c r="E9" s="576"/>
      <c r="F9" s="576"/>
      <c r="G9" s="181"/>
      <c r="H9" s="571"/>
    </row>
    <row r="10" spans="1:8" ht="129.94999999999999" customHeight="1">
      <c r="A10" s="571"/>
      <c r="B10" s="180"/>
      <c r="C10" s="605" t="s">
        <v>682</v>
      </c>
      <c r="D10" s="605"/>
      <c r="E10" s="576"/>
      <c r="F10" s="576"/>
      <c r="G10" s="181"/>
      <c r="H10" s="571"/>
    </row>
    <row r="11" spans="1:8" ht="69.95" customHeight="1">
      <c r="A11" s="571"/>
      <c r="B11" s="180"/>
      <c r="C11" s="605" t="s">
        <v>683</v>
      </c>
      <c r="D11" s="605"/>
      <c r="E11" s="576"/>
      <c r="F11" s="576"/>
      <c r="G11" s="181"/>
      <c r="H11" s="571"/>
    </row>
    <row r="12" spans="1:8" ht="22.5" customHeight="1">
      <c r="A12" s="571"/>
      <c r="B12" s="180"/>
      <c r="C12" s="151"/>
      <c r="D12" s="151"/>
      <c r="E12" s="576"/>
      <c r="F12" s="585" t="s">
        <v>589</v>
      </c>
      <c r="G12" s="181"/>
      <c r="H12" s="571"/>
    </row>
    <row r="13" spans="1:8" ht="20.100000000000001" customHeight="1">
      <c r="A13" s="571"/>
      <c r="B13" s="180"/>
      <c r="C13" s="605" t="s">
        <v>688</v>
      </c>
      <c r="D13" s="605"/>
      <c r="E13" s="576"/>
      <c r="F13" s="576"/>
      <c r="G13" s="181"/>
      <c r="H13" s="571"/>
    </row>
    <row r="14" spans="1:8" ht="9.9499999999999993" customHeight="1">
      <c r="A14" s="581"/>
      <c r="B14" s="180"/>
      <c r="C14" s="580"/>
      <c r="D14" s="580"/>
      <c r="E14" s="576"/>
      <c r="F14" s="576"/>
      <c r="G14" s="181"/>
      <c r="H14" s="581"/>
    </row>
    <row r="15" spans="1:8" ht="20.100000000000001" customHeight="1">
      <c r="A15" s="571"/>
      <c r="B15" s="180"/>
      <c r="C15" s="607" t="s">
        <v>674</v>
      </c>
      <c r="D15" s="607"/>
      <c r="E15" s="607"/>
      <c r="F15" s="607"/>
      <c r="G15" s="181"/>
      <c r="H15" s="571"/>
    </row>
    <row r="16" spans="1:8" ht="20.100000000000001" customHeight="1">
      <c r="A16" s="571"/>
      <c r="B16" s="180"/>
      <c r="C16" s="607" t="s">
        <v>675</v>
      </c>
      <c r="D16" s="607"/>
      <c r="E16" s="607"/>
      <c r="F16" s="607"/>
      <c r="G16" s="181"/>
      <c r="H16" s="571"/>
    </row>
    <row r="17" spans="1:8" ht="20.100000000000001" customHeight="1">
      <c r="A17" s="571"/>
      <c r="B17" s="180"/>
      <c r="C17" s="607" t="s">
        <v>676</v>
      </c>
      <c r="D17" s="607"/>
      <c r="E17" s="607"/>
      <c r="F17" s="607"/>
      <c r="G17" s="181"/>
      <c r="H17" s="571"/>
    </row>
    <row r="18" spans="1:8" ht="20.100000000000001" customHeight="1">
      <c r="A18" s="571"/>
      <c r="B18" s="180"/>
      <c r="C18" s="607" t="s">
        <v>677</v>
      </c>
      <c r="D18" s="607"/>
      <c r="E18" s="607"/>
      <c r="F18" s="607"/>
      <c r="G18" s="181"/>
      <c r="H18" s="571"/>
    </row>
    <row r="19" spans="1:8" ht="20.100000000000001" customHeight="1">
      <c r="A19" s="571"/>
      <c r="B19" s="180"/>
      <c r="C19" s="607" t="s">
        <v>678</v>
      </c>
      <c r="D19" s="607"/>
      <c r="E19" s="607"/>
      <c r="F19" s="607"/>
      <c r="G19" s="181"/>
      <c r="H19" s="571"/>
    </row>
    <row r="20" spans="1:8" s="186" customFormat="1" ht="30" customHeight="1">
      <c r="A20" s="182"/>
      <c r="B20" s="183"/>
      <c r="C20" s="184"/>
      <c r="D20" s="184"/>
      <c r="E20" s="576"/>
      <c r="F20" s="576"/>
      <c r="G20" s="185"/>
      <c r="H20" s="182"/>
    </row>
    <row r="21" spans="1:8" s="186" customFormat="1" ht="14.1" customHeight="1">
      <c r="A21" s="182"/>
      <c r="B21" s="183"/>
      <c r="C21" s="184"/>
      <c r="D21" s="184"/>
      <c r="E21" s="576"/>
      <c r="F21" s="577" t="str">
        <f>AUX!A1</f>
        <v>Perfil Local de Saúde 2014</v>
      </c>
      <c r="G21" s="185"/>
      <c r="H21" s="182"/>
    </row>
    <row r="22" spans="1:8" s="186" customFormat="1" ht="20.100000000000001" customHeight="1">
      <c r="A22" s="182"/>
      <c r="B22" s="183"/>
      <c r="C22" s="184"/>
      <c r="D22" s="606">
        <f>AUX!A3</f>
        <v>0</v>
      </c>
      <c r="E22" s="606"/>
      <c r="F22" s="606"/>
      <c r="G22" s="185"/>
      <c r="H22" s="182"/>
    </row>
    <row r="23" spans="1:8" s="186" customFormat="1" ht="18" customHeight="1">
      <c r="A23" s="182"/>
      <c r="B23" s="183"/>
      <c r="C23" s="184"/>
      <c r="D23" s="184"/>
      <c r="E23" s="578"/>
      <c r="F23" s="579" t="s">
        <v>590</v>
      </c>
      <c r="G23" s="185"/>
      <c r="H23" s="182"/>
    </row>
    <row r="24" spans="1:8" ht="20.100000000000001" customHeight="1">
      <c r="A24" s="571"/>
      <c r="B24" s="180"/>
      <c r="C24" s="572"/>
      <c r="D24" s="572"/>
      <c r="E24" s="576"/>
      <c r="F24" s="576"/>
      <c r="G24" s="181"/>
      <c r="H24" s="571"/>
    </row>
    <row r="25" spans="1:8" ht="20.100000000000001" customHeight="1">
      <c r="A25" s="571"/>
      <c r="B25" s="180"/>
      <c r="C25" s="572"/>
      <c r="D25" s="572"/>
      <c r="E25" s="576"/>
      <c r="F25" s="576"/>
      <c r="G25" s="181"/>
      <c r="H25" s="571"/>
    </row>
    <row r="26" spans="1:8" ht="60" customHeight="1">
      <c r="A26" s="571"/>
      <c r="B26" s="180"/>
      <c r="C26" s="572"/>
      <c r="D26" s="572"/>
      <c r="E26" s="573"/>
      <c r="F26" s="573"/>
      <c r="G26" s="181"/>
      <c r="H26" s="571"/>
    </row>
    <row r="27" spans="1:8" ht="11.25" customHeight="1" thickBot="1">
      <c r="A27" s="571"/>
      <c r="B27" s="187"/>
      <c r="C27" s="20"/>
      <c r="D27" s="20"/>
      <c r="E27" s="20"/>
      <c r="F27" s="20"/>
      <c r="G27" s="188"/>
      <c r="H27" s="571"/>
    </row>
    <row r="28" spans="1:8" ht="9.9499999999999993" customHeight="1" thickTop="1">
      <c r="A28" s="571"/>
      <c r="B28" s="571"/>
      <c r="C28" s="571"/>
      <c r="D28" s="571"/>
      <c r="E28" s="571"/>
      <c r="F28" s="571"/>
      <c r="G28" s="571"/>
      <c r="H28" s="571"/>
    </row>
  </sheetData>
  <mergeCells count="12">
    <mergeCell ref="D3:F3"/>
    <mergeCell ref="C10:D10"/>
    <mergeCell ref="C11:D11"/>
    <mergeCell ref="C13:D13"/>
    <mergeCell ref="D22:F22"/>
    <mergeCell ref="C8:D8"/>
    <mergeCell ref="C9:D9"/>
    <mergeCell ref="C16:F16"/>
    <mergeCell ref="C17:F17"/>
    <mergeCell ref="C18:F18"/>
    <mergeCell ref="C19:F19"/>
    <mergeCell ref="C15:F15"/>
  </mergeCells>
  <hyperlinks>
    <hyperlink ref="F23" location="PLS!A1" display="ENTRAR"/>
  </hyperlinks>
  <printOptions horizontalCentered="1"/>
  <pageMargins left="0.39370078740157483" right="0.19685039370078741" top="0.78740157480314965" bottom="0.39370078740157483" header="0.31496062992125984" footer="0.31496062992125984"/>
  <pageSetup paperSize="9" scale="74" orientation="portrait" r:id="rId1"/>
  <drawing r:id="rId2"/>
</worksheet>
</file>

<file path=xl/worksheets/sheet10.xml><?xml version="1.0" encoding="utf-8"?>
<worksheet xmlns="http://schemas.openxmlformats.org/spreadsheetml/2006/main" xmlns:r="http://schemas.openxmlformats.org/officeDocument/2006/relationships">
  <sheetPr codeName="Folha9"/>
  <dimension ref="A1:V81"/>
  <sheetViews>
    <sheetView topLeftCell="A40" zoomScaleNormal="100" workbookViewId="0"/>
  </sheetViews>
  <sheetFormatPr defaultRowHeight="14.25"/>
  <cols>
    <col min="1" max="1" width="2.7109375" style="6" customWidth="1"/>
    <col min="2" max="2" width="51.7109375" style="6" customWidth="1"/>
    <col min="3" max="3" width="1.7109375" style="262" customWidth="1"/>
    <col min="4" max="6" width="8.7109375" style="6" customWidth="1"/>
    <col min="7" max="7" width="1.7109375" style="262" customWidth="1"/>
    <col min="8" max="10" width="8.7109375" style="6" customWidth="1"/>
    <col min="11" max="11" width="1.7109375" style="6" customWidth="1"/>
    <col min="12" max="14" width="8.7109375" style="6" customWidth="1"/>
    <col min="15" max="15" width="2.7109375" style="6" customWidth="1"/>
    <col min="16" max="16" width="4.7109375" style="6" customWidth="1"/>
    <col min="17" max="22" width="6.7109375" style="6" hidden="1" customWidth="1"/>
    <col min="23" max="16384" width="9.140625" style="6"/>
  </cols>
  <sheetData>
    <row r="1" spans="1:15" ht="9.9499999999999993" customHeight="1">
      <c r="A1" s="122"/>
      <c r="B1" s="122"/>
      <c r="D1" s="122"/>
      <c r="E1" s="122"/>
      <c r="F1" s="122"/>
      <c r="H1" s="122"/>
      <c r="I1" s="122"/>
      <c r="J1" s="122"/>
      <c r="K1" s="122"/>
      <c r="L1" s="122"/>
      <c r="M1" s="122"/>
      <c r="N1" s="122"/>
      <c r="O1" s="122"/>
    </row>
    <row r="2" spans="1:15" ht="20.100000000000001" customHeight="1" thickBot="1">
      <c r="A2" s="122"/>
      <c r="B2" s="775" t="str">
        <f>AUX!A1</f>
        <v>Perfil Local de Saúde 2014</v>
      </c>
      <c r="C2" s="775"/>
      <c r="D2" s="775"/>
      <c r="E2" s="131"/>
      <c r="F2" s="131"/>
      <c r="G2" s="131"/>
      <c r="H2" s="776">
        <f>AUX!A3</f>
        <v>0</v>
      </c>
      <c r="I2" s="776"/>
      <c r="J2" s="776"/>
      <c r="K2" s="776"/>
      <c r="L2" s="776"/>
      <c r="M2" s="776"/>
      <c r="N2" s="776"/>
      <c r="O2" s="122"/>
    </row>
    <row r="3" spans="1:15" ht="9.9499999999999993" customHeight="1" thickTop="1">
      <c r="A3" s="122"/>
      <c r="B3" s="122"/>
      <c r="D3" s="122"/>
      <c r="E3" s="122"/>
      <c r="F3" s="122"/>
      <c r="H3" s="122"/>
      <c r="I3" s="122"/>
      <c r="J3" s="122"/>
      <c r="K3" s="122"/>
      <c r="L3" s="122"/>
      <c r="M3" s="122"/>
      <c r="N3" s="122"/>
      <c r="O3" s="122"/>
    </row>
    <row r="4" spans="1:15">
      <c r="A4" s="122"/>
      <c r="B4" s="135" t="s">
        <v>0</v>
      </c>
      <c r="D4" s="122"/>
      <c r="E4" s="122"/>
      <c r="F4" s="122"/>
      <c r="H4" s="122"/>
      <c r="I4" s="122"/>
      <c r="J4" s="122"/>
      <c r="K4" s="122"/>
      <c r="L4" s="122"/>
      <c r="M4" s="122"/>
      <c r="N4" s="122"/>
      <c r="O4" s="122"/>
    </row>
    <row r="5" spans="1:15" ht="15" customHeight="1">
      <c r="A5" s="122"/>
      <c r="B5" s="21"/>
      <c r="D5" s="122"/>
      <c r="E5" s="122"/>
      <c r="F5" s="122"/>
      <c r="H5" s="122"/>
      <c r="I5" s="122"/>
      <c r="J5" s="122"/>
      <c r="K5" s="122"/>
      <c r="L5" s="122"/>
      <c r="M5" s="122"/>
      <c r="N5" s="122"/>
      <c r="O5" s="122"/>
    </row>
    <row r="6" spans="1:15" s="133" customFormat="1" ht="24.95" customHeight="1">
      <c r="A6" s="132"/>
      <c r="B6" s="777" t="s">
        <v>7</v>
      </c>
      <c r="C6" s="777"/>
      <c r="D6" s="777"/>
      <c r="E6" s="777"/>
      <c r="F6" s="777"/>
      <c r="G6" s="777"/>
      <c r="H6" s="777"/>
      <c r="I6" s="777"/>
      <c r="J6" s="777"/>
      <c r="K6" s="777"/>
      <c r="L6" s="777"/>
      <c r="M6" s="777"/>
      <c r="N6" s="777"/>
      <c r="O6" s="132"/>
    </row>
    <row r="7" spans="1:15" ht="18" customHeight="1">
      <c r="A7" s="385"/>
      <c r="B7" s="774" t="s">
        <v>178</v>
      </c>
      <c r="C7" s="774"/>
      <c r="D7" s="774"/>
      <c r="E7" s="774"/>
      <c r="F7" s="774"/>
      <c r="G7" s="774"/>
      <c r="H7" s="385"/>
      <c r="I7" s="385"/>
      <c r="J7" s="385"/>
      <c r="K7" s="385"/>
      <c r="L7" s="385"/>
      <c r="M7" s="385"/>
      <c r="N7" s="385"/>
      <c r="O7" s="385"/>
    </row>
    <row r="8" spans="1:15" ht="15" customHeight="1">
      <c r="A8" s="385"/>
      <c r="B8" s="778" t="s">
        <v>38</v>
      </c>
      <c r="C8" s="778"/>
      <c r="D8" s="778"/>
      <c r="E8" s="778"/>
      <c r="F8" s="778"/>
      <c r="G8" s="778"/>
      <c r="H8" s="385"/>
      <c r="I8" s="385"/>
      <c r="J8" s="385"/>
      <c r="K8" s="385"/>
      <c r="L8" s="385"/>
      <c r="M8" s="385"/>
      <c r="N8" s="385"/>
      <c r="O8" s="385"/>
    </row>
    <row r="9" spans="1:15" ht="15" customHeight="1">
      <c r="A9" s="385"/>
      <c r="B9" s="773" t="s">
        <v>41</v>
      </c>
      <c r="C9" s="773"/>
      <c r="D9" s="773"/>
      <c r="E9" s="773"/>
      <c r="F9" s="773"/>
      <c r="G9" s="773"/>
      <c r="H9" s="385"/>
      <c r="I9" s="385"/>
      <c r="J9" s="385"/>
      <c r="K9" s="385"/>
      <c r="L9" s="385"/>
      <c r="M9" s="385"/>
      <c r="N9" s="385"/>
      <c r="O9" s="385"/>
    </row>
    <row r="10" spans="1:15" ht="15" customHeight="1">
      <c r="A10" s="385"/>
      <c r="B10" s="773" t="s">
        <v>127</v>
      </c>
      <c r="C10" s="773"/>
      <c r="D10" s="773"/>
      <c r="E10" s="773"/>
      <c r="F10" s="773"/>
      <c r="G10" s="773"/>
      <c r="H10" s="385"/>
      <c r="I10" s="385"/>
      <c r="J10" s="385"/>
      <c r="K10" s="385"/>
      <c r="L10" s="385"/>
      <c r="M10" s="385"/>
      <c r="N10" s="385"/>
      <c r="O10" s="385"/>
    </row>
    <row r="11" spans="1:15" ht="15" customHeight="1">
      <c r="A11" s="385"/>
      <c r="B11" s="773" t="s">
        <v>40</v>
      </c>
      <c r="C11" s="773"/>
      <c r="D11" s="773"/>
      <c r="E11" s="773"/>
      <c r="F11" s="773"/>
      <c r="G11" s="773"/>
      <c r="H11" s="134"/>
      <c r="I11" s="385"/>
      <c r="J11" s="385"/>
      <c r="K11" s="385"/>
      <c r="L11" s="385"/>
      <c r="M11" s="385"/>
      <c r="N11" s="385"/>
      <c r="O11" s="385"/>
    </row>
    <row r="12" spans="1:15" ht="15" customHeight="1">
      <c r="A12" s="385"/>
      <c r="B12" s="773" t="s">
        <v>364</v>
      </c>
      <c r="C12" s="773"/>
      <c r="D12" s="773"/>
      <c r="E12" s="773"/>
      <c r="F12" s="773"/>
      <c r="G12" s="773"/>
      <c r="H12" s="385"/>
      <c r="I12" s="385"/>
      <c r="J12" s="385"/>
      <c r="K12" s="385"/>
      <c r="L12" s="385"/>
      <c r="M12" s="385"/>
      <c r="N12" s="385"/>
      <c r="O12" s="385"/>
    </row>
    <row r="13" spans="1:15" ht="15" customHeight="1">
      <c r="A13" s="385"/>
      <c r="B13" s="774" t="s">
        <v>462</v>
      </c>
      <c r="C13" s="774"/>
      <c r="D13" s="774"/>
      <c r="E13" s="774"/>
      <c r="F13" s="774"/>
      <c r="G13" s="774"/>
      <c r="H13" s="385"/>
      <c r="I13" s="385"/>
      <c r="J13" s="385"/>
      <c r="K13" s="385"/>
      <c r="L13" s="385"/>
      <c r="M13" s="385"/>
      <c r="N13" s="385"/>
      <c r="O13" s="385"/>
    </row>
    <row r="14" spans="1:15" ht="15" customHeight="1">
      <c r="A14" s="385"/>
      <c r="B14" s="774" t="s">
        <v>125</v>
      </c>
      <c r="C14" s="774"/>
      <c r="D14" s="774"/>
      <c r="E14" s="774"/>
      <c r="F14" s="774"/>
      <c r="G14" s="774"/>
      <c r="H14" s="385"/>
      <c r="I14" s="385"/>
      <c r="J14" s="385"/>
      <c r="K14" s="385"/>
      <c r="L14" s="385"/>
      <c r="M14" s="385"/>
      <c r="N14" s="385"/>
      <c r="O14" s="385"/>
    </row>
    <row r="15" spans="1:15" ht="15" customHeight="1">
      <c r="A15" s="385"/>
      <c r="B15" s="774" t="s">
        <v>29</v>
      </c>
      <c r="C15" s="774"/>
      <c r="D15" s="774"/>
      <c r="E15" s="774"/>
      <c r="F15" s="774"/>
      <c r="G15" s="774"/>
      <c r="H15" s="385"/>
      <c r="I15" s="385"/>
      <c r="J15" s="385"/>
      <c r="K15" s="385"/>
      <c r="L15" s="385"/>
      <c r="M15" s="385"/>
      <c r="N15" s="385"/>
      <c r="O15" s="385"/>
    </row>
    <row r="16" spans="1:15" ht="20.100000000000001" customHeight="1">
      <c r="A16" s="122"/>
      <c r="B16" s="122"/>
      <c r="D16" s="122"/>
      <c r="E16" s="122"/>
      <c r="F16" s="122"/>
      <c r="H16" s="122"/>
      <c r="I16" s="122"/>
      <c r="J16" s="122"/>
      <c r="K16" s="122"/>
      <c r="L16" s="122"/>
      <c r="M16" s="122"/>
      <c r="N16" s="122"/>
      <c r="O16" s="122"/>
    </row>
    <row r="17" spans="1:15" ht="20.100000000000001" customHeight="1" thickBot="1">
      <c r="A17" s="122"/>
      <c r="B17" s="785" t="s">
        <v>364</v>
      </c>
      <c r="C17" s="785"/>
      <c r="D17" s="785"/>
      <c r="E17" s="785"/>
      <c r="F17" s="785"/>
      <c r="G17" s="785"/>
      <c r="H17" s="785"/>
      <c r="I17" s="785"/>
      <c r="J17" s="785"/>
      <c r="K17" s="785"/>
      <c r="L17" s="785"/>
      <c r="M17" s="785"/>
      <c r="N17" s="785"/>
      <c r="O17" s="122"/>
    </row>
    <row r="18" spans="1:15">
      <c r="A18" s="22"/>
      <c r="B18" s="22"/>
      <c r="D18" s="22"/>
      <c r="E18" s="22"/>
      <c r="F18" s="22"/>
      <c r="H18" s="22"/>
      <c r="I18" s="22"/>
      <c r="J18" s="22"/>
      <c r="K18" s="22"/>
      <c r="L18" s="22"/>
      <c r="M18" s="22"/>
      <c r="N18" s="22"/>
      <c r="O18" s="22"/>
    </row>
    <row r="19" spans="1:15" ht="54.95" customHeight="1">
      <c r="A19" s="479"/>
      <c r="B19" s="801" t="s">
        <v>686</v>
      </c>
      <c r="C19" s="801"/>
      <c r="D19" s="801"/>
      <c r="E19" s="801"/>
      <c r="F19" s="801"/>
      <c r="G19" s="801"/>
      <c r="H19" s="801"/>
      <c r="I19" s="801"/>
      <c r="J19" s="801"/>
      <c r="K19" s="801"/>
      <c r="L19" s="801"/>
      <c r="M19" s="561"/>
      <c r="N19" s="561"/>
      <c r="O19" s="479"/>
    </row>
    <row r="20" spans="1:15">
      <c r="A20" s="479"/>
      <c r="B20" s="479"/>
      <c r="C20" s="553"/>
      <c r="D20" s="479"/>
      <c r="E20" s="479"/>
      <c r="F20" s="479"/>
      <c r="G20" s="553"/>
      <c r="H20" s="479"/>
      <c r="I20" s="479"/>
      <c r="J20" s="479"/>
      <c r="K20" s="479"/>
      <c r="L20" s="479"/>
      <c r="M20" s="479"/>
      <c r="N20" s="479"/>
      <c r="O20" s="479"/>
    </row>
    <row r="21" spans="1:15" ht="39.950000000000003" customHeight="1">
      <c r="A21" s="22"/>
      <c r="B21" s="806" t="s">
        <v>501</v>
      </c>
      <c r="C21" s="806"/>
      <c r="D21" s="806"/>
      <c r="E21" s="806"/>
      <c r="F21" s="22"/>
      <c r="G21" s="806" t="s">
        <v>497</v>
      </c>
      <c r="H21" s="806"/>
      <c r="I21" s="806"/>
      <c r="J21" s="806"/>
      <c r="K21" s="806"/>
      <c r="L21" s="806"/>
      <c r="M21" s="806"/>
      <c r="N21" s="806"/>
      <c r="O21" s="22"/>
    </row>
    <row r="22" spans="1:15" ht="9.9499999999999993" customHeight="1">
      <c r="A22" s="22"/>
      <c r="B22" s="806"/>
      <c r="C22" s="806"/>
      <c r="D22" s="806"/>
      <c r="E22" s="806"/>
      <c r="F22" s="22"/>
      <c r="H22" s="22"/>
      <c r="I22" s="22"/>
      <c r="J22" s="22"/>
      <c r="K22" s="22"/>
      <c r="L22" s="22"/>
      <c r="M22" s="22"/>
      <c r="N22" s="22"/>
      <c r="O22" s="22"/>
    </row>
    <row r="23" spans="1:15" ht="12" customHeight="1">
      <c r="A23" s="22"/>
      <c r="B23" s="806"/>
      <c r="C23" s="806"/>
      <c r="D23" s="806"/>
      <c r="E23" s="806"/>
      <c r="F23" s="22"/>
      <c r="G23" s="387"/>
      <c r="H23" s="798" t="s">
        <v>258</v>
      </c>
      <c r="I23" s="798"/>
      <c r="J23" s="798"/>
      <c r="K23" s="798"/>
      <c r="L23" s="798"/>
      <c r="M23" s="798"/>
      <c r="N23" s="798"/>
      <c r="O23" s="22"/>
    </row>
    <row r="24" spans="1:15" ht="5.0999999999999996" customHeight="1">
      <c r="A24" s="22"/>
      <c r="B24" s="806"/>
      <c r="C24" s="806"/>
      <c r="D24" s="806"/>
      <c r="E24" s="806"/>
      <c r="F24" s="22"/>
      <c r="H24" s="22"/>
      <c r="I24" s="22"/>
      <c r="J24" s="22"/>
      <c r="K24" s="22"/>
      <c r="L24" s="22"/>
      <c r="M24" s="22"/>
      <c r="N24" s="22"/>
      <c r="O24" s="22"/>
    </row>
    <row r="25" spans="1:15" ht="12" customHeight="1">
      <c r="A25" s="386"/>
      <c r="B25" s="806"/>
      <c r="C25" s="806"/>
      <c r="D25" s="806"/>
      <c r="E25" s="806"/>
      <c r="F25" s="386"/>
      <c r="G25" s="388"/>
      <c r="H25" s="798" t="s">
        <v>256</v>
      </c>
      <c r="I25" s="798"/>
      <c r="J25" s="798"/>
      <c r="K25" s="798"/>
      <c r="L25" s="798"/>
      <c r="M25" s="798"/>
      <c r="N25" s="798"/>
      <c r="O25" s="386"/>
    </row>
    <row r="26" spans="1:15" ht="5.0999999999999996" customHeight="1">
      <c r="A26" s="386"/>
      <c r="B26" s="806"/>
      <c r="C26" s="806"/>
      <c r="D26" s="806"/>
      <c r="E26" s="806"/>
      <c r="F26" s="386"/>
      <c r="G26" s="385"/>
      <c r="H26" s="386"/>
      <c r="I26" s="386"/>
      <c r="J26" s="386"/>
      <c r="K26" s="386"/>
      <c r="L26" s="386"/>
      <c r="M26" s="386"/>
      <c r="N26" s="386"/>
      <c r="O26" s="386"/>
    </row>
    <row r="27" spans="1:15" ht="12" customHeight="1">
      <c r="A27" s="22"/>
      <c r="B27" s="806"/>
      <c r="C27" s="806"/>
      <c r="D27" s="806"/>
      <c r="E27" s="806"/>
      <c r="F27" s="22"/>
      <c r="G27" s="389"/>
      <c r="H27" s="798" t="s">
        <v>257</v>
      </c>
      <c r="I27" s="798"/>
      <c r="J27" s="798"/>
      <c r="K27" s="798"/>
      <c r="L27" s="798"/>
      <c r="M27" s="798"/>
      <c r="N27" s="798"/>
      <c r="O27" s="22"/>
    </row>
    <row r="28" spans="1:15" ht="5.0999999999999996" customHeight="1">
      <c r="A28" s="22"/>
      <c r="B28" s="806"/>
      <c r="C28" s="806"/>
      <c r="D28" s="806"/>
      <c r="E28" s="806"/>
      <c r="F28" s="22"/>
      <c r="H28" s="22"/>
      <c r="I28" s="22"/>
      <c r="J28" s="22"/>
      <c r="K28" s="22"/>
      <c r="L28" s="22"/>
      <c r="M28" s="22"/>
      <c r="N28" s="22"/>
      <c r="O28" s="22"/>
    </row>
    <row r="29" spans="1:15" ht="12" customHeight="1">
      <c r="A29" s="22"/>
      <c r="B29" s="806"/>
      <c r="C29" s="806"/>
      <c r="D29" s="806"/>
      <c r="E29" s="806"/>
      <c r="F29" s="22"/>
      <c r="G29" s="390"/>
      <c r="H29" s="798" t="s">
        <v>259</v>
      </c>
      <c r="I29" s="798"/>
      <c r="J29" s="798"/>
      <c r="K29" s="798"/>
      <c r="L29" s="798"/>
      <c r="M29" s="798"/>
      <c r="N29" s="798"/>
      <c r="O29" s="22"/>
    </row>
    <row r="30" spans="1:15" ht="20.100000000000001" customHeight="1">
      <c r="A30" s="22"/>
      <c r="B30" s="806"/>
      <c r="C30" s="806"/>
      <c r="D30" s="806"/>
      <c r="E30" s="806"/>
      <c r="F30" s="22"/>
      <c r="H30" s="22"/>
      <c r="I30" s="22"/>
      <c r="J30" s="22"/>
      <c r="K30" s="22"/>
      <c r="L30" s="22"/>
      <c r="M30" s="22"/>
      <c r="N30" s="22"/>
      <c r="O30" s="22"/>
    </row>
    <row r="31" spans="1:15" ht="20.100000000000001" customHeight="1">
      <c r="A31" s="22"/>
      <c r="B31" s="22"/>
      <c r="D31" s="22"/>
      <c r="E31" s="22"/>
      <c r="F31" s="22"/>
      <c r="H31" s="22"/>
      <c r="I31" s="22"/>
      <c r="J31" s="22"/>
      <c r="K31" s="22"/>
      <c r="L31" s="22"/>
      <c r="M31" s="22"/>
      <c r="N31" s="22"/>
      <c r="O31" s="22"/>
    </row>
    <row r="32" spans="1:15" ht="14.1" customHeight="1">
      <c r="A32" s="22"/>
      <c r="B32" s="802" t="s">
        <v>388</v>
      </c>
      <c r="C32" s="802"/>
      <c r="D32" s="802"/>
      <c r="E32" s="802"/>
      <c r="F32" s="802"/>
      <c r="G32" s="802"/>
      <c r="H32" s="802"/>
      <c r="I32" s="802"/>
      <c r="J32" s="802"/>
      <c r="K32" s="802"/>
      <c r="L32" s="802"/>
      <c r="M32" s="802"/>
      <c r="N32" s="802"/>
      <c r="O32" s="147"/>
    </row>
    <row r="33" spans="1:22" ht="5.0999999999999996" customHeight="1">
      <c r="A33" s="22"/>
      <c r="B33" s="22"/>
      <c r="D33" s="22"/>
      <c r="E33" s="22"/>
      <c r="F33" s="22"/>
      <c r="H33" s="22"/>
      <c r="I33" s="22"/>
      <c r="J33" s="22"/>
      <c r="K33" s="22"/>
      <c r="L33" s="22"/>
      <c r="M33" s="22"/>
      <c r="N33" s="22"/>
      <c r="O33" s="22"/>
    </row>
    <row r="34" spans="1:22" ht="27.95" customHeight="1">
      <c r="A34" s="122"/>
      <c r="B34" s="803" t="s">
        <v>19</v>
      </c>
      <c r="C34" s="1"/>
      <c r="D34" s="804" t="s">
        <v>16</v>
      </c>
      <c r="E34" s="804"/>
      <c r="F34" s="804"/>
      <c r="G34" s="1"/>
      <c r="H34" s="805">
        <f>AUX!A2</f>
        <v>0</v>
      </c>
      <c r="I34" s="805"/>
      <c r="J34" s="805"/>
      <c r="K34" s="1"/>
      <c r="L34" s="805">
        <f>AUX!A3</f>
        <v>0</v>
      </c>
      <c r="M34" s="805"/>
      <c r="N34" s="805"/>
      <c r="O34" s="22"/>
    </row>
    <row r="35" spans="1:22">
      <c r="A35" s="122"/>
      <c r="B35" s="803"/>
      <c r="C35" s="1"/>
      <c r="D35" s="485" t="s">
        <v>13</v>
      </c>
      <c r="E35" s="485" t="s">
        <v>14</v>
      </c>
      <c r="F35" s="485" t="s">
        <v>15</v>
      </c>
      <c r="G35" s="148"/>
      <c r="H35" s="485" t="s">
        <v>13</v>
      </c>
      <c r="I35" s="485" t="s">
        <v>14</v>
      </c>
      <c r="J35" s="485" t="s">
        <v>15</v>
      </c>
      <c r="K35" s="148"/>
      <c r="L35" s="485" t="s">
        <v>13</v>
      </c>
      <c r="M35" s="485" t="s">
        <v>14</v>
      </c>
      <c r="N35" s="485" t="s">
        <v>15</v>
      </c>
      <c r="O35" s="22"/>
      <c r="Q35" s="568" t="s">
        <v>382</v>
      </c>
      <c r="R35" s="568" t="s">
        <v>383</v>
      </c>
      <c r="S35" s="568" t="s">
        <v>384</v>
      </c>
      <c r="T35" s="568" t="s">
        <v>385</v>
      </c>
      <c r="U35" s="568" t="s">
        <v>386</v>
      </c>
      <c r="V35" s="568" t="s">
        <v>387</v>
      </c>
    </row>
    <row r="36" spans="1:22" ht="15" customHeight="1">
      <c r="A36" s="262"/>
      <c r="B36" s="362" t="s">
        <v>24</v>
      </c>
      <c r="C36" s="1"/>
      <c r="D36" s="363">
        <f>AUX!B334</f>
        <v>284.10385677020207</v>
      </c>
      <c r="E36" s="363">
        <f>AUX!C334</f>
        <v>402.92245073411522</v>
      </c>
      <c r="F36" s="363">
        <f>AUX!D334</f>
        <v>179.73583153521088</v>
      </c>
      <c r="G36" s="148"/>
      <c r="H36" s="358">
        <f>AUX!E334</f>
        <v>0</v>
      </c>
      <c r="I36" s="358">
        <f>AUX!F334</f>
        <v>0</v>
      </c>
      <c r="J36" s="358">
        <f>AUX!G334</f>
        <v>0</v>
      </c>
      <c r="K36" s="148"/>
      <c r="L36" s="358" t="str">
        <f>IF(AUX!H334="","",AUX!H334)</f>
        <v/>
      </c>
      <c r="M36" s="358" t="str">
        <f>IF(AUX!I334="","",AUX!I334)</f>
        <v/>
      </c>
      <c r="N36" s="358" t="str">
        <f>IF(AUX!J334="","",AUX!J334)</f>
        <v/>
      </c>
      <c r="O36" s="22"/>
      <c r="Q36" s="569">
        <f>AUX!L334</f>
        <v>0</v>
      </c>
      <c r="R36" s="569">
        <f>AUX!M334</f>
        <v>0</v>
      </c>
      <c r="S36" s="569">
        <f>AUX!N334</f>
        <v>0</v>
      </c>
      <c r="T36" s="569">
        <f>AUX!O334</f>
        <v>0</v>
      </c>
      <c r="U36" s="569">
        <f>AUX!P334</f>
        <v>0</v>
      </c>
      <c r="V36" s="569">
        <f>AUX!Q334</f>
        <v>0</v>
      </c>
    </row>
    <row r="37" spans="1:22" ht="15" customHeight="1">
      <c r="A37" s="262"/>
      <c r="B37" s="362" t="s">
        <v>365</v>
      </c>
      <c r="C37" s="1"/>
      <c r="D37" s="363">
        <f>AUX!B335</f>
        <v>27.702251029466936</v>
      </c>
      <c r="E37" s="363">
        <f>AUX!C335</f>
        <v>42.407015892561851</v>
      </c>
      <c r="F37" s="363">
        <f>AUX!D335</f>
        <v>14.450190034124276</v>
      </c>
      <c r="G37" s="148"/>
      <c r="H37" s="358">
        <f>AUX!E335</f>
        <v>0</v>
      </c>
      <c r="I37" s="358">
        <f>AUX!F335</f>
        <v>0</v>
      </c>
      <c r="J37" s="358">
        <f>AUX!G335</f>
        <v>0</v>
      </c>
      <c r="K37" s="148"/>
      <c r="L37" s="358" t="str">
        <f>IF(AUX!H335="","",AUX!H335)</f>
        <v/>
      </c>
      <c r="M37" s="358" t="str">
        <f>IF(AUX!I335="","",AUX!I335)</f>
        <v/>
      </c>
      <c r="N37" s="358" t="str">
        <f>IF(AUX!J335="","",AUX!J335)</f>
        <v/>
      </c>
      <c r="O37" s="22"/>
      <c r="Q37" s="569">
        <f>AUX!L335</f>
        <v>0</v>
      </c>
      <c r="R37" s="569">
        <f>AUX!M335</f>
        <v>0</v>
      </c>
      <c r="S37" s="569">
        <f>AUX!N335</f>
        <v>0</v>
      </c>
      <c r="T37" s="569">
        <f>AUX!O335</f>
        <v>0</v>
      </c>
      <c r="U37" s="569">
        <f>AUX!P335</f>
        <v>0</v>
      </c>
      <c r="V37" s="569">
        <f>AUX!Q335</f>
        <v>0</v>
      </c>
    </row>
    <row r="38" spans="1:22" ht="15" customHeight="1">
      <c r="A38" s="262"/>
      <c r="B38" s="362" t="s">
        <v>366</v>
      </c>
      <c r="C38" s="1"/>
      <c r="D38" s="363">
        <f>AUX!B336</f>
        <v>10.717605797846375</v>
      </c>
      <c r="E38" s="363">
        <f>AUX!C336</f>
        <v>16.173674518421201</v>
      </c>
      <c r="F38" s="363">
        <f>AUX!D336</f>
        <v>5.7113909508814302</v>
      </c>
      <c r="G38" s="148"/>
      <c r="H38" s="358">
        <f>AUX!E336</f>
        <v>0</v>
      </c>
      <c r="I38" s="358">
        <f>AUX!F336</f>
        <v>0</v>
      </c>
      <c r="J38" s="358">
        <f>AUX!G336</f>
        <v>0</v>
      </c>
      <c r="K38" s="148"/>
      <c r="L38" s="358" t="str">
        <f>IF(AUX!H336="","",AUX!H336)</f>
        <v/>
      </c>
      <c r="M38" s="358" t="str">
        <f>IF(AUX!I336="","",AUX!I336)</f>
        <v/>
      </c>
      <c r="N38" s="358" t="str">
        <f>IF(AUX!J336="","",AUX!J336)</f>
        <v/>
      </c>
      <c r="O38" s="22"/>
      <c r="Q38" s="569">
        <f>AUX!L336</f>
        <v>0</v>
      </c>
      <c r="R38" s="569">
        <f>AUX!M336</f>
        <v>0</v>
      </c>
      <c r="S38" s="569">
        <f>AUX!N336</f>
        <v>0</v>
      </c>
      <c r="T38" s="569">
        <f>AUX!O336</f>
        <v>0</v>
      </c>
      <c r="U38" s="569">
        <f>AUX!P336</f>
        <v>0</v>
      </c>
      <c r="V38" s="569">
        <f>AUX!Q336</f>
        <v>0</v>
      </c>
    </row>
    <row r="39" spans="1:22" ht="15" customHeight="1">
      <c r="A39" s="262"/>
      <c r="B39" s="355" t="s">
        <v>29</v>
      </c>
      <c r="C39" s="1"/>
      <c r="D39" s="361">
        <f>AUX!B337</f>
        <v>0.83980520589189278</v>
      </c>
      <c r="E39" s="361">
        <f>AUX!C337</f>
        <v>1.4090765869753989</v>
      </c>
      <c r="F39" s="361">
        <f>AUX!D337</f>
        <v>0.33343658582249519</v>
      </c>
      <c r="G39" s="148"/>
      <c r="H39" s="358">
        <f>AUX!E337</f>
        <v>0</v>
      </c>
      <c r="I39" s="358">
        <f>AUX!F337</f>
        <v>0</v>
      </c>
      <c r="J39" s="358">
        <f>AUX!G337</f>
        <v>0</v>
      </c>
      <c r="K39" s="148"/>
      <c r="L39" s="358" t="str">
        <f>IF(AUX!H337="","",AUX!H337)</f>
        <v/>
      </c>
      <c r="M39" s="358" t="str">
        <f>IF(AUX!I337="","",AUX!I337)</f>
        <v/>
      </c>
      <c r="N39" s="358" t="str">
        <f>IF(AUX!J337="","",AUX!J337)</f>
        <v/>
      </c>
      <c r="O39" s="22"/>
      <c r="Q39" s="569">
        <f>AUX!L337</f>
        <v>0</v>
      </c>
      <c r="R39" s="569">
        <f>AUX!M337</f>
        <v>0</v>
      </c>
      <c r="S39" s="569">
        <f>AUX!N337</f>
        <v>0</v>
      </c>
      <c r="T39" s="569">
        <f>AUX!O337</f>
        <v>0</v>
      </c>
      <c r="U39" s="569">
        <f>AUX!P337</f>
        <v>0</v>
      </c>
      <c r="V39" s="569">
        <f>AUX!Q337</f>
        <v>0</v>
      </c>
    </row>
    <row r="40" spans="1:22" ht="15" customHeight="1">
      <c r="A40" s="262"/>
      <c r="B40" s="355" t="s">
        <v>69</v>
      </c>
      <c r="C40" s="1"/>
      <c r="D40" s="361">
        <f>AUX!B338</f>
        <v>5.657681956941552</v>
      </c>
      <c r="E40" s="361">
        <f>AUX!C338</f>
        <v>9.0995156659545007</v>
      </c>
      <c r="F40" s="361">
        <f>AUX!D338</f>
        <v>2.4406525475545893</v>
      </c>
      <c r="G40" s="148"/>
      <c r="H40" s="358">
        <f>AUX!E338</f>
        <v>0</v>
      </c>
      <c r="I40" s="358">
        <f>AUX!F338</f>
        <v>0</v>
      </c>
      <c r="J40" s="358">
        <f>AUX!G338</f>
        <v>0</v>
      </c>
      <c r="K40" s="148"/>
      <c r="L40" s="358" t="str">
        <f>IF(AUX!H338="","",AUX!H338)</f>
        <v/>
      </c>
      <c r="M40" s="358" t="str">
        <f>IF(AUX!I338="","",AUX!I338)</f>
        <v/>
      </c>
      <c r="N40" s="358" t="str">
        <f>IF(AUX!J338="","",AUX!J338)</f>
        <v/>
      </c>
      <c r="O40" s="22"/>
      <c r="Q40" s="569">
        <f>AUX!L338</f>
        <v>0</v>
      </c>
      <c r="R40" s="569">
        <f>AUX!M338</f>
        <v>0</v>
      </c>
      <c r="S40" s="569">
        <f>AUX!N338</f>
        <v>0</v>
      </c>
      <c r="T40" s="569">
        <f>AUX!O338</f>
        <v>0</v>
      </c>
      <c r="U40" s="569">
        <f>AUX!P338</f>
        <v>0</v>
      </c>
      <c r="V40" s="569">
        <f>AUX!Q338</f>
        <v>0</v>
      </c>
    </row>
    <row r="41" spans="1:22" ht="15" customHeight="1">
      <c r="A41" s="262"/>
      <c r="B41" s="362" t="s">
        <v>23</v>
      </c>
      <c r="C41" s="1"/>
      <c r="D41" s="363">
        <f>AUX!B339</f>
        <v>106.06309147885354</v>
      </c>
      <c r="E41" s="363">
        <f>AUX!C339</f>
        <v>143.6190932064882</v>
      </c>
      <c r="F41" s="363">
        <f>AUX!D339</f>
        <v>73.798406535861346</v>
      </c>
      <c r="G41" s="148"/>
      <c r="H41" s="358">
        <f>AUX!E339</f>
        <v>0</v>
      </c>
      <c r="I41" s="358">
        <f>AUX!F339</f>
        <v>0</v>
      </c>
      <c r="J41" s="358">
        <f>AUX!G339</f>
        <v>0</v>
      </c>
      <c r="K41" s="148"/>
      <c r="L41" s="358" t="str">
        <f>IF(AUX!H339="","",AUX!H339)</f>
        <v/>
      </c>
      <c r="M41" s="358" t="str">
        <f>IF(AUX!I339="","",AUX!I339)</f>
        <v/>
      </c>
      <c r="N41" s="358" t="str">
        <f>IF(AUX!J339="","",AUX!J339)</f>
        <v/>
      </c>
      <c r="O41" s="22"/>
      <c r="Q41" s="569">
        <f>AUX!L339</f>
        <v>0</v>
      </c>
      <c r="R41" s="569">
        <f>AUX!M339</f>
        <v>0</v>
      </c>
      <c r="S41" s="569">
        <f>AUX!N339</f>
        <v>0</v>
      </c>
      <c r="T41" s="569">
        <f>AUX!O339</f>
        <v>0</v>
      </c>
      <c r="U41" s="569">
        <f>AUX!P339</f>
        <v>0</v>
      </c>
      <c r="V41" s="569">
        <f>AUX!Q339</f>
        <v>0</v>
      </c>
    </row>
    <row r="42" spans="1:22" ht="15" customHeight="1">
      <c r="A42" s="262"/>
      <c r="B42" s="356" t="s">
        <v>367</v>
      </c>
      <c r="C42" s="1"/>
      <c r="D42" s="359">
        <f>AUX!B340</f>
        <v>4.6729678815660165</v>
      </c>
      <c r="E42" s="359">
        <f>AUX!C340</f>
        <v>8.8120863420453279</v>
      </c>
      <c r="F42" s="359">
        <f>AUX!D340</f>
        <v>0.97118566540071494</v>
      </c>
      <c r="G42" s="148"/>
      <c r="H42" s="358">
        <f>AUX!E340</f>
        <v>0</v>
      </c>
      <c r="I42" s="358">
        <f>AUX!F340</f>
        <v>0</v>
      </c>
      <c r="J42" s="358">
        <f>AUX!G340</f>
        <v>0</v>
      </c>
      <c r="K42" s="148"/>
      <c r="L42" s="358" t="str">
        <f>IF(AUX!H340="","",AUX!H340)</f>
        <v/>
      </c>
      <c r="M42" s="358" t="str">
        <f>IF(AUX!I340="","",AUX!I340)</f>
        <v/>
      </c>
      <c r="N42" s="358" t="str">
        <f>IF(AUX!J340="","",AUX!J340)</f>
        <v/>
      </c>
      <c r="O42" s="22"/>
      <c r="Q42" s="569">
        <f>AUX!L340</f>
        <v>0</v>
      </c>
      <c r="R42" s="569">
        <f>AUX!M340</f>
        <v>0</v>
      </c>
      <c r="S42" s="569">
        <f>AUX!N340</f>
        <v>0</v>
      </c>
      <c r="T42" s="569">
        <f>AUX!O340</f>
        <v>0</v>
      </c>
      <c r="U42" s="569">
        <f>AUX!P340</f>
        <v>0</v>
      </c>
      <c r="V42" s="569">
        <f>AUX!Q340</f>
        <v>0</v>
      </c>
    </row>
    <row r="43" spans="1:22" ht="15" customHeight="1">
      <c r="A43" s="262"/>
      <c r="B43" s="356" t="s">
        <v>368</v>
      </c>
      <c r="C43" s="1"/>
      <c r="D43" s="359">
        <f>AUX!B341</f>
        <v>37.856796207627291</v>
      </c>
      <c r="E43" s="359">
        <f>AUX!C341</f>
        <v>55.354491121002496</v>
      </c>
      <c r="F43" s="359">
        <f>AUX!D341</f>
        <v>22.742459571749947</v>
      </c>
      <c r="G43" s="148"/>
      <c r="H43" s="358">
        <f>AUX!E341</f>
        <v>0</v>
      </c>
      <c r="I43" s="358">
        <f>AUX!F341</f>
        <v>0</v>
      </c>
      <c r="J43" s="358">
        <f>AUX!G341</f>
        <v>0</v>
      </c>
      <c r="K43" s="148"/>
      <c r="L43" s="358" t="str">
        <f>IF(AUX!H341="","",AUX!H341)</f>
        <v/>
      </c>
      <c r="M43" s="358" t="str">
        <f>IF(AUX!I341="","",AUX!I341)</f>
        <v/>
      </c>
      <c r="N43" s="358" t="str">
        <f>IF(AUX!J341="","",AUX!J341)</f>
        <v/>
      </c>
      <c r="O43" s="22"/>
      <c r="Q43" s="569">
        <f>AUX!L341</f>
        <v>0</v>
      </c>
      <c r="R43" s="569">
        <f>AUX!M341</f>
        <v>0</v>
      </c>
      <c r="S43" s="569">
        <f>AUX!N341</f>
        <v>0</v>
      </c>
      <c r="T43" s="569">
        <f>AUX!O341</f>
        <v>0</v>
      </c>
      <c r="U43" s="569">
        <f>AUX!P341</f>
        <v>0</v>
      </c>
      <c r="V43" s="569">
        <f>AUX!Q341</f>
        <v>0</v>
      </c>
    </row>
    <row r="44" spans="1:22" ht="15" customHeight="1">
      <c r="A44" s="262"/>
      <c r="B44" s="355" t="s">
        <v>185</v>
      </c>
      <c r="C44" s="1"/>
      <c r="D44" s="361">
        <f>AUX!B342</f>
        <v>3.2532612269924215</v>
      </c>
      <c r="E44" s="361">
        <f>AUX!C342</f>
        <v>6.3729445564508751</v>
      </c>
      <c r="F44" s="361">
        <f>AUX!D342</f>
        <v>0.48341407161825539</v>
      </c>
      <c r="G44" s="148"/>
      <c r="H44" s="358">
        <f>AUX!E342</f>
        <v>0</v>
      </c>
      <c r="I44" s="358">
        <f>AUX!F342</f>
        <v>0</v>
      </c>
      <c r="J44" s="358">
        <f>AUX!G342</f>
        <v>0</v>
      </c>
      <c r="K44" s="148"/>
      <c r="L44" s="358" t="str">
        <f>IF(AUX!H342="","",AUX!H342)</f>
        <v/>
      </c>
      <c r="M44" s="358" t="str">
        <f>IF(AUX!I342="","",AUX!I342)</f>
        <v/>
      </c>
      <c r="N44" s="358" t="str">
        <f>IF(AUX!J342="","",AUX!J342)</f>
        <v/>
      </c>
      <c r="O44" s="22"/>
      <c r="Q44" s="569">
        <f>AUX!L342</f>
        <v>0</v>
      </c>
      <c r="R44" s="569">
        <f>AUX!M342</f>
        <v>0</v>
      </c>
      <c r="S44" s="569">
        <f>AUX!N342</f>
        <v>0</v>
      </c>
      <c r="T44" s="569">
        <f>AUX!O342</f>
        <v>0</v>
      </c>
      <c r="U44" s="569">
        <f>AUX!P342</f>
        <v>0</v>
      </c>
      <c r="V44" s="569">
        <f>AUX!Q342</f>
        <v>0</v>
      </c>
    </row>
    <row r="45" spans="1:22" ht="15" customHeight="1">
      <c r="A45" s="262"/>
      <c r="B45" s="355" t="s">
        <v>186</v>
      </c>
      <c r="C45" s="1"/>
      <c r="D45" s="361">
        <f>AUX!B343</f>
        <v>9.7548446497461825</v>
      </c>
      <c r="E45" s="361">
        <f>AUX!C343</f>
        <v>14.000953119314378</v>
      </c>
      <c r="F45" s="361">
        <f>AUX!D343</f>
        <v>6.0981394210288338</v>
      </c>
      <c r="G45" s="148"/>
      <c r="H45" s="358">
        <f>AUX!E343</f>
        <v>0</v>
      </c>
      <c r="I45" s="358">
        <f>AUX!F343</f>
        <v>0</v>
      </c>
      <c r="J45" s="358">
        <f>AUX!G343</f>
        <v>0</v>
      </c>
      <c r="K45" s="148"/>
      <c r="L45" s="358" t="str">
        <f>IF(AUX!H343="","",AUX!H343)</f>
        <v/>
      </c>
      <c r="M45" s="358" t="str">
        <f>IF(AUX!I343="","",AUX!I343)</f>
        <v/>
      </c>
      <c r="N45" s="358" t="str">
        <f>IF(AUX!J343="","",AUX!J343)</f>
        <v/>
      </c>
      <c r="O45" s="22"/>
      <c r="Q45" s="569">
        <f>AUX!L343</f>
        <v>0</v>
      </c>
      <c r="R45" s="569">
        <f>AUX!M343</f>
        <v>0</v>
      </c>
      <c r="S45" s="569">
        <f>AUX!N343</f>
        <v>0</v>
      </c>
      <c r="T45" s="569">
        <f>AUX!O343</f>
        <v>0</v>
      </c>
      <c r="U45" s="569">
        <f>AUX!P343</f>
        <v>0</v>
      </c>
      <c r="V45" s="569">
        <f>AUX!Q343</f>
        <v>0</v>
      </c>
    </row>
    <row r="46" spans="1:22" ht="15" customHeight="1">
      <c r="A46" s="262"/>
      <c r="B46" s="355" t="s">
        <v>369</v>
      </c>
      <c r="C46" s="1"/>
      <c r="D46" s="361">
        <f>AUX!B344</f>
        <v>13.317334277188877</v>
      </c>
      <c r="E46" s="361">
        <f>AUX!C344</f>
        <v>18.229011089740023</v>
      </c>
      <c r="F46" s="361">
        <f>AUX!D344</f>
        <v>9.1620552449256039</v>
      </c>
      <c r="G46" s="148"/>
      <c r="H46" s="358">
        <f>AUX!E344</f>
        <v>0</v>
      </c>
      <c r="I46" s="358">
        <f>AUX!F344</f>
        <v>0</v>
      </c>
      <c r="J46" s="358">
        <f>AUX!G344</f>
        <v>0</v>
      </c>
      <c r="K46" s="148"/>
      <c r="L46" s="358" t="str">
        <f>IF(AUX!H344="","",AUX!H344)</f>
        <v/>
      </c>
      <c r="M46" s="358" t="str">
        <f>IF(AUX!I344="","",AUX!I344)</f>
        <v/>
      </c>
      <c r="N46" s="358" t="str">
        <f>IF(AUX!J344="","",AUX!J344)</f>
        <v/>
      </c>
      <c r="O46" s="22"/>
      <c r="Q46" s="569">
        <f>AUX!L344</f>
        <v>0</v>
      </c>
      <c r="R46" s="569">
        <f>AUX!M344</f>
        <v>0</v>
      </c>
      <c r="S46" s="569">
        <f>AUX!N344</f>
        <v>0</v>
      </c>
      <c r="T46" s="569">
        <f>AUX!O344</f>
        <v>0</v>
      </c>
      <c r="U46" s="569">
        <f>AUX!P344</f>
        <v>0</v>
      </c>
      <c r="V46" s="569">
        <f>AUX!Q344</f>
        <v>0</v>
      </c>
    </row>
    <row r="47" spans="1:22" ht="15" customHeight="1">
      <c r="A47" s="262"/>
      <c r="B47" s="355" t="s">
        <v>187</v>
      </c>
      <c r="C47" s="1"/>
      <c r="D47" s="361">
        <f>AUX!B345</f>
        <v>5.1528553492082523</v>
      </c>
      <c r="E47" s="361">
        <f>AUX!C345</f>
        <v>7.0570646063707576</v>
      </c>
      <c r="F47" s="361">
        <f>AUX!D345</f>
        <v>3.5028532190059951</v>
      </c>
      <c r="G47" s="148"/>
      <c r="H47" s="358">
        <f>AUX!E345</f>
        <v>0</v>
      </c>
      <c r="I47" s="358">
        <f>AUX!F345</f>
        <v>0</v>
      </c>
      <c r="J47" s="358">
        <f>AUX!G345</f>
        <v>0</v>
      </c>
      <c r="K47" s="148"/>
      <c r="L47" s="358" t="str">
        <f>IF(AUX!H345="","",AUX!H345)</f>
        <v/>
      </c>
      <c r="M47" s="358" t="str">
        <f>IF(AUX!I345="","",AUX!I345)</f>
        <v/>
      </c>
      <c r="N47" s="358" t="str">
        <f>IF(AUX!J345="","",AUX!J345)</f>
        <v/>
      </c>
      <c r="O47" s="22"/>
      <c r="Q47" s="569">
        <f>AUX!L345</f>
        <v>0</v>
      </c>
      <c r="R47" s="569">
        <f>AUX!M345</f>
        <v>0</v>
      </c>
      <c r="S47" s="569">
        <f>AUX!N345</f>
        <v>0</v>
      </c>
      <c r="T47" s="569">
        <f>AUX!O345</f>
        <v>0</v>
      </c>
      <c r="U47" s="569">
        <f>AUX!P345</f>
        <v>0</v>
      </c>
      <c r="V47" s="569">
        <f>AUX!Q345</f>
        <v>0</v>
      </c>
    </row>
    <row r="48" spans="1:22" ht="15" customHeight="1">
      <c r="A48" s="262"/>
      <c r="B48" s="356" t="s">
        <v>370</v>
      </c>
      <c r="C48" s="1"/>
      <c r="D48" s="359">
        <f>AUX!B346</f>
        <v>21.761429640313267</v>
      </c>
      <c r="E48" s="359">
        <f>AUX!C346</f>
        <v>38.686100360002548</v>
      </c>
      <c r="F48" s="359">
        <f>AUX!D346</f>
        <v>7.0875249327561827</v>
      </c>
      <c r="G48" s="148"/>
      <c r="H48" s="358">
        <f>AUX!E346</f>
        <v>0</v>
      </c>
      <c r="I48" s="358">
        <f>AUX!F346</f>
        <v>0</v>
      </c>
      <c r="J48" s="358">
        <f>AUX!G346</f>
        <v>0</v>
      </c>
      <c r="K48" s="148"/>
      <c r="L48" s="358" t="str">
        <f>IF(AUX!H346="","",AUX!H346)</f>
        <v/>
      </c>
      <c r="M48" s="358" t="str">
        <f>IF(AUX!I346="","",AUX!I346)</f>
        <v/>
      </c>
      <c r="N48" s="358" t="str">
        <f>IF(AUX!J346="","",AUX!J346)</f>
        <v/>
      </c>
      <c r="O48" s="22"/>
      <c r="Q48" s="569">
        <f>AUX!L346</f>
        <v>0</v>
      </c>
      <c r="R48" s="569">
        <f>AUX!M346</f>
        <v>0</v>
      </c>
      <c r="S48" s="569">
        <f>AUX!N346</f>
        <v>0</v>
      </c>
      <c r="T48" s="569">
        <f>AUX!O346</f>
        <v>0</v>
      </c>
      <c r="U48" s="569">
        <f>AUX!P346</f>
        <v>0</v>
      </c>
      <c r="V48" s="569">
        <f>AUX!Q346</f>
        <v>0</v>
      </c>
    </row>
    <row r="49" spans="1:22" ht="15" customHeight="1">
      <c r="A49" s="262"/>
      <c r="B49" s="355" t="s">
        <v>188</v>
      </c>
      <c r="C49" s="1"/>
      <c r="D49" s="361">
        <f>AUX!B347</f>
        <v>18.982449372305222</v>
      </c>
      <c r="E49" s="361">
        <f>AUX!C347</f>
        <v>33.228092566603358</v>
      </c>
      <c r="F49" s="361">
        <f>AUX!D347</f>
        <v>6.6755188563378187</v>
      </c>
      <c r="G49" s="148"/>
      <c r="H49" s="358">
        <f>AUX!E347</f>
        <v>0</v>
      </c>
      <c r="I49" s="358">
        <f>AUX!F347</f>
        <v>0</v>
      </c>
      <c r="J49" s="358">
        <f>AUX!G347</f>
        <v>0</v>
      </c>
      <c r="K49" s="148"/>
      <c r="L49" s="358" t="str">
        <f>IF(AUX!H347="","",AUX!H347)</f>
        <v/>
      </c>
      <c r="M49" s="358" t="str">
        <f>IF(AUX!I347="","",AUX!I347)</f>
        <v/>
      </c>
      <c r="N49" s="358" t="str">
        <f>IF(AUX!J347="","",AUX!J347)</f>
        <v/>
      </c>
      <c r="O49" s="22"/>
      <c r="Q49" s="569">
        <f>AUX!L347</f>
        <v>0</v>
      </c>
      <c r="R49" s="569">
        <f>AUX!M347</f>
        <v>0</v>
      </c>
      <c r="S49" s="569">
        <f>AUX!N347</f>
        <v>0</v>
      </c>
      <c r="T49" s="569">
        <f>AUX!O347</f>
        <v>0</v>
      </c>
      <c r="U49" s="569">
        <f>AUX!P347</f>
        <v>0</v>
      </c>
      <c r="V49" s="569">
        <f>AUX!Q347</f>
        <v>0</v>
      </c>
    </row>
    <row r="50" spans="1:22" ht="15" customHeight="1">
      <c r="A50" s="262"/>
      <c r="B50" s="356" t="s">
        <v>371</v>
      </c>
      <c r="C50" s="1"/>
      <c r="D50" s="359">
        <f>AUX!B348</f>
        <v>10.302076821187823</v>
      </c>
      <c r="E50" s="359">
        <f>AUX!C348</f>
        <v>2.7733240308893761</v>
      </c>
      <c r="F50" s="359">
        <f>AUX!D348</f>
        <v>17.00299969920458</v>
      </c>
      <c r="G50" s="148"/>
      <c r="H50" s="358">
        <f>AUX!E348</f>
        <v>0</v>
      </c>
      <c r="I50" s="358">
        <f>AUX!F348</f>
        <v>0</v>
      </c>
      <c r="J50" s="358">
        <f>AUX!G348</f>
        <v>0</v>
      </c>
      <c r="K50" s="148"/>
      <c r="L50" s="358" t="str">
        <f>IF(AUX!H348="","",AUX!H348)</f>
        <v/>
      </c>
      <c r="M50" s="358" t="str">
        <f>IF(AUX!I348="","",AUX!I348)</f>
        <v/>
      </c>
      <c r="N50" s="358" t="str">
        <f>IF(AUX!J348="","",AUX!J348)</f>
        <v/>
      </c>
      <c r="O50" s="22"/>
      <c r="Q50" s="569">
        <f>AUX!L348</f>
        <v>0</v>
      </c>
      <c r="R50" s="569">
        <f>AUX!M348</f>
        <v>0</v>
      </c>
      <c r="S50" s="569">
        <f>AUX!N348</f>
        <v>0</v>
      </c>
      <c r="T50" s="569">
        <f>AUX!O348</f>
        <v>0</v>
      </c>
      <c r="U50" s="569">
        <f>AUX!P348</f>
        <v>0</v>
      </c>
      <c r="V50" s="569">
        <f>AUX!Q348</f>
        <v>0</v>
      </c>
    </row>
    <row r="51" spans="1:22" ht="15" customHeight="1">
      <c r="A51" s="477"/>
      <c r="B51" s="355" t="s">
        <v>372</v>
      </c>
      <c r="C51" s="1"/>
      <c r="D51" s="587" t="s">
        <v>282</v>
      </c>
      <c r="E51" s="587" t="s">
        <v>282</v>
      </c>
      <c r="F51" s="361">
        <f>AUX!D349</f>
        <v>15.347011518209854</v>
      </c>
      <c r="G51" s="148"/>
      <c r="H51" s="587" t="s">
        <v>282</v>
      </c>
      <c r="I51" s="587" t="s">
        <v>282</v>
      </c>
      <c r="J51" s="358">
        <f>AUX!G349</f>
        <v>0</v>
      </c>
      <c r="K51" s="148"/>
      <c r="L51" s="587" t="s">
        <v>282</v>
      </c>
      <c r="M51" s="587" t="s">
        <v>282</v>
      </c>
      <c r="N51" s="358" t="str">
        <f>IF(AUX!J349="","",AUX!J349)</f>
        <v/>
      </c>
      <c r="O51" s="479"/>
      <c r="Q51" s="569">
        <f>AUX!L349</f>
        <v>0</v>
      </c>
      <c r="R51" s="569">
        <f>AUX!M349</f>
        <v>0</v>
      </c>
      <c r="S51" s="569">
        <f>AUX!N349</f>
        <v>0</v>
      </c>
      <c r="T51" s="569">
        <f>AUX!O349</f>
        <v>0</v>
      </c>
      <c r="U51" s="569">
        <f>AUX!P349</f>
        <v>0</v>
      </c>
      <c r="V51" s="569">
        <f>AUX!Q349</f>
        <v>0</v>
      </c>
    </row>
    <row r="52" spans="1:22" ht="15" customHeight="1">
      <c r="A52" s="262"/>
      <c r="B52" s="356" t="s">
        <v>373</v>
      </c>
      <c r="C52" s="1"/>
      <c r="D52" s="359">
        <f>AUX!B350</f>
        <v>12.440466707834362</v>
      </c>
      <c r="E52" s="359">
        <f>AUX!C350</f>
        <v>14.027945777333093</v>
      </c>
      <c r="F52" s="359">
        <f>AUX!D350</f>
        <v>11.279098647188931</v>
      </c>
      <c r="G52" s="148"/>
      <c r="H52" s="358">
        <f>AUX!E350</f>
        <v>0</v>
      </c>
      <c r="I52" s="358">
        <f>AUX!F350</f>
        <v>0</v>
      </c>
      <c r="J52" s="358">
        <f>AUX!G350</f>
        <v>0</v>
      </c>
      <c r="K52" s="148"/>
      <c r="L52" s="358" t="str">
        <f>IF(AUX!H350="","",AUX!H350)</f>
        <v/>
      </c>
      <c r="M52" s="358" t="str">
        <f>IF(AUX!I350="","",AUX!I350)</f>
        <v/>
      </c>
      <c r="N52" s="358" t="str">
        <f>IF(AUX!J350="","",AUX!J350)</f>
        <v/>
      </c>
      <c r="O52" s="22"/>
      <c r="Q52" s="569">
        <f>AUX!L350</f>
        <v>0</v>
      </c>
      <c r="R52" s="569">
        <f>AUX!M350</f>
        <v>0</v>
      </c>
      <c r="S52" s="569">
        <f>AUX!N350</f>
        <v>0</v>
      </c>
      <c r="T52" s="569">
        <f>AUX!O350</f>
        <v>0</v>
      </c>
      <c r="U52" s="569">
        <f>AUX!P350</f>
        <v>0</v>
      </c>
      <c r="V52" s="569">
        <f>AUX!Q350</f>
        <v>0</v>
      </c>
    </row>
    <row r="53" spans="1:22" ht="15" customHeight="1">
      <c r="A53" s="477"/>
      <c r="B53" s="355" t="s">
        <v>189</v>
      </c>
      <c r="C53" s="1"/>
      <c r="D53" s="587" t="s">
        <v>282</v>
      </c>
      <c r="E53" s="587" t="s">
        <v>282</v>
      </c>
      <c r="F53" s="361">
        <f>AUX!D351</f>
        <v>2.8969958499084258</v>
      </c>
      <c r="G53" s="148"/>
      <c r="H53" s="587" t="s">
        <v>282</v>
      </c>
      <c r="I53" s="587" t="s">
        <v>282</v>
      </c>
      <c r="J53" s="358">
        <f>AUX!G351</f>
        <v>0</v>
      </c>
      <c r="K53" s="148"/>
      <c r="L53" s="587" t="s">
        <v>282</v>
      </c>
      <c r="M53" s="587" t="s">
        <v>282</v>
      </c>
      <c r="N53" s="358" t="str">
        <f>IF(AUX!J351="","",AUX!J351)</f>
        <v/>
      </c>
      <c r="O53" s="479"/>
      <c r="Q53" s="569">
        <f>AUX!L351</f>
        <v>0</v>
      </c>
      <c r="R53" s="569">
        <f>AUX!M351</f>
        <v>0</v>
      </c>
      <c r="S53" s="569">
        <f>AUX!N351</f>
        <v>0</v>
      </c>
      <c r="T53" s="569">
        <f>AUX!O351</f>
        <v>0</v>
      </c>
      <c r="U53" s="569">
        <f>AUX!P351</f>
        <v>0</v>
      </c>
      <c r="V53" s="569">
        <f>AUX!Q351</f>
        <v>0</v>
      </c>
    </row>
    <row r="54" spans="1:22" ht="15" customHeight="1">
      <c r="A54" s="477"/>
      <c r="B54" s="355" t="s">
        <v>184</v>
      </c>
      <c r="C54" s="1"/>
      <c r="D54" s="587" t="s">
        <v>282</v>
      </c>
      <c r="E54" s="361">
        <f>AUX!C352</f>
        <v>6.8802094976729169</v>
      </c>
      <c r="F54" s="587" t="s">
        <v>282</v>
      </c>
      <c r="G54" s="148"/>
      <c r="H54" s="587" t="s">
        <v>282</v>
      </c>
      <c r="I54" s="358">
        <f>AUX!F352</f>
        <v>0</v>
      </c>
      <c r="J54" s="587" t="s">
        <v>282</v>
      </c>
      <c r="K54" s="148"/>
      <c r="L54" s="587" t="s">
        <v>282</v>
      </c>
      <c r="M54" s="358" t="str">
        <f>IF(AUX!I352="","",AUX!I352)</f>
        <v/>
      </c>
      <c r="N54" s="587" t="s">
        <v>282</v>
      </c>
      <c r="O54" s="479"/>
      <c r="Q54" s="569">
        <f>AUX!L352</f>
        <v>0</v>
      </c>
      <c r="R54" s="569">
        <f>AUX!M352</f>
        <v>0</v>
      </c>
      <c r="S54" s="569">
        <f>AUX!N352</f>
        <v>0</v>
      </c>
      <c r="T54" s="569">
        <f>AUX!O352</f>
        <v>0</v>
      </c>
      <c r="U54" s="569">
        <f>AUX!P352</f>
        <v>0</v>
      </c>
      <c r="V54" s="569">
        <f>AUX!Q352</f>
        <v>0</v>
      </c>
    </row>
    <row r="55" spans="1:22" ht="15" customHeight="1">
      <c r="A55" s="262"/>
      <c r="B55" s="355" t="s">
        <v>190</v>
      </c>
      <c r="C55" s="1"/>
      <c r="D55" s="361">
        <f>AUX!B353</f>
        <v>2.2415233660214877</v>
      </c>
      <c r="E55" s="361">
        <f>AUX!C353</f>
        <v>4.1187579199290454</v>
      </c>
      <c r="F55" s="361">
        <f>AUX!D353</f>
        <v>0.65218014308729966</v>
      </c>
      <c r="G55" s="148"/>
      <c r="H55" s="358">
        <f>AUX!E353</f>
        <v>0</v>
      </c>
      <c r="I55" s="358">
        <f>AUX!F353</f>
        <v>0</v>
      </c>
      <c r="J55" s="358">
        <f>AUX!G353</f>
        <v>0</v>
      </c>
      <c r="K55" s="148"/>
      <c r="L55" s="358" t="str">
        <f>IF(AUX!H353="","",AUX!H353)</f>
        <v/>
      </c>
      <c r="M55" s="358" t="str">
        <f>IF(AUX!I353="","",AUX!I353)</f>
        <v/>
      </c>
      <c r="N55" s="358" t="str">
        <f>IF(AUX!J353="","",AUX!J353)</f>
        <v/>
      </c>
      <c r="O55" s="22"/>
      <c r="Q55" s="569">
        <f>AUX!L353</f>
        <v>0</v>
      </c>
      <c r="R55" s="569">
        <f>AUX!M353</f>
        <v>0</v>
      </c>
      <c r="S55" s="569">
        <f>AUX!N353</f>
        <v>0</v>
      </c>
      <c r="T55" s="569">
        <f>AUX!O353</f>
        <v>0</v>
      </c>
      <c r="U55" s="569">
        <f>AUX!P353</f>
        <v>0</v>
      </c>
      <c r="V55" s="569">
        <f>AUX!Q353</f>
        <v>0</v>
      </c>
    </row>
    <row r="56" spans="1:22" ht="15" customHeight="1">
      <c r="A56" s="262"/>
      <c r="B56" s="357" t="s">
        <v>381</v>
      </c>
      <c r="C56" s="1"/>
      <c r="D56" s="360">
        <f>AUX!B354</f>
        <v>9.5930088700626328</v>
      </c>
      <c r="E56" s="360">
        <f>AUX!C354</f>
        <v>12.317839304183808</v>
      </c>
      <c r="F56" s="360">
        <f>AUX!D354</f>
        <v>7.198297796183919</v>
      </c>
      <c r="G56" s="148"/>
      <c r="H56" s="358">
        <f>AUX!E354</f>
        <v>0</v>
      </c>
      <c r="I56" s="358">
        <f>AUX!F354</f>
        <v>0</v>
      </c>
      <c r="J56" s="358">
        <f>AUX!G354</f>
        <v>0</v>
      </c>
      <c r="K56" s="148"/>
      <c r="L56" s="358" t="str">
        <f>IF(AUX!H354="","",AUX!H354)</f>
        <v/>
      </c>
      <c r="M56" s="358" t="str">
        <f>IF(AUX!I354="","",AUX!I354)</f>
        <v/>
      </c>
      <c r="N56" s="358" t="str">
        <f>IF(AUX!J354="","",AUX!J354)</f>
        <v/>
      </c>
      <c r="O56" s="22"/>
      <c r="Q56" s="569">
        <f>AUX!L354</f>
        <v>0</v>
      </c>
      <c r="R56" s="569">
        <f>AUX!M354</f>
        <v>0</v>
      </c>
      <c r="S56" s="569">
        <f>AUX!N354</f>
        <v>0</v>
      </c>
      <c r="T56" s="569">
        <f>AUX!O354</f>
        <v>0</v>
      </c>
      <c r="U56" s="569">
        <f>AUX!P354</f>
        <v>0</v>
      </c>
      <c r="V56" s="569">
        <f>AUX!Q354</f>
        <v>0</v>
      </c>
    </row>
    <row r="57" spans="1:22" ht="15" customHeight="1">
      <c r="A57" s="262"/>
      <c r="B57" s="356" t="s">
        <v>375</v>
      </c>
      <c r="C57" s="1"/>
      <c r="D57" s="359">
        <f>AUX!B355</f>
        <v>8.0032678554965031</v>
      </c>
      <c r="E57" s="359">
        <f>AUX!C355</f>
        <v>9.9608031078593946</v>
      </c>
      <c r="F57" s="359">
        <f>AUX!D355</f>
        <v>6.3044676289279247</v>
      </c>
      <c r="G57" s="148"/>
      <c r="H57" s="358">
        <f>AUX!E355</f>
        <v>0</v>
      </c>
      <c r="I57" s="358">
        <f>AUX!F355</f>
        <v>0</v>
      </c>
      <c r="J57" s="358">
        <f>AUX!G355</f>
        <v>0</v>
      </c>
      <c r="K57" s="148"/>
      <c r="L57" s="358" t="str">
        <f>IF(AUX!H355="","",AUX!H355)</f>
        <v/>
      </c>
      <c r="M57" s="358" t="str">
        <f>IF(AUX!I355="","",AUX!I355)</f>
        <v/>
      </c>
      <c r="N57" s="358" t="str">
        <f>IF(AUX!J355="","",AUX!J355)</f>
        <v/>
      </c>
      <c r="O57" s="22"/>
      <c r="Q57" s="569">
        <f>AUX!L355</f>
        <v>0</v>
      </c>
      <c r="R57" s="569">
        <f>AUX!M355</f>
        <v>0</v>
      </c>
      <c r="S57" s="569">
        <f>AUX!N355</f>
        <v>0</v>
      </c>
      <c r="T57" s="569">
        <f>AUX!O355</f>
        <v>0</v>
      </c>
      <c r="U57" s="569">
        <f>AUX!P355</f>
        <v>0</v>
      </c>
      <c r="V57" s="569">
        <f>AUX!Q355</f>
        <v>0</v>
      </c>
    </row>
    <row r="58" spans="1:22" ht="15" customHeight="1">
      <c r="A58" s="262"/>
      <c r="B58" s="362" t="s">
        <v>376</v>
      </c>
      <c r="C58" s="1"/>
      <c r="D58" s="363">
        <f>AUX!B356</f>
        <v>10.992655895920212</v>
      </c>
      <c r="E58" s="363">
        <f>AUX!C356</f>
        <v>13.310696341515671</v>
      </c>
      <c r="F58" s="363">
        <f>AUX!D356</f>
        <v>9.0109043785410812</v>
      </c>
      <c r="G58" s="148"/>
      <c r="H58" s="358">
        <f>AUX!E356</f>
        <v>0</v>
      </c>
      <c r="I58" s="358">
        <f>AUX!F356</f>
        <v>0</v>
      </c>
      <c r="J58" s="358">
        <f>AUX!G356</f>
        <v>0</v>
      </c>
      <c r="K58" s="148"/>
      <c r="L58" s="358" t="str">
        <f>IF(AUX!H356="","",AUX!H356)</f>
        <v/>
      </c>
      <c r="M58" s="358" t="str">
        <f>IF(AUX!I356="","",AUX!I356)</f>
        <v/>
      </c>
      <c r="N58" s="358" t="str">
        <f>IF(AUX!J356="","",AUX!J356)</f>
        <v/>
      </c>
      <c r="O58" s="22"/>
      <c r="Q58" s="569">
        <f>AUX!L356</f>
        <v>0</v>
      </c>
      <c r="R58" s="569">
        <f>AUX!M356</f>
        <v>0</v>
      </c>
      <c r="S58" s="569">
        <f>AUX!N356</f>
        <v>0</v>
      </c>
      <c r="T58" s="569">
        <f>AUX!O356</f>
        <v>0</v>
      </c>
      <c r="U58" s="569">
        <f>AUX!P356</f>
        <v>0</v>
      </c>
      <c r="V58" s="569">
        <f>AUX!Q356</f>
        <v>0</v>
      </c>
    </row>
    <row r="59" spans="1:22" ht="15" customHeight="1">
      <c r="A59" s="262"/>
      <c r="B59" s="355" t="s">
        <v>30</v>
      </c>
      <c r="C59" s="1"/>
      <c r="D59" s="361">
        <f>AUX!B357</f>
        <v>8.8053714734633299</v>
      </c>
      <c r="E59" s="361">
        <f>AUX!C357</f>
        <v>11.044673744438203</v>
      </c>
      <c r="F59" s="361">
        <f>AUX!D357</f>
        <v>6.877703471527739</v>
      </c>
      <c r="G59" s="148"/>
      <c r="H59" s="358">
        <f>AUX!E357</f>
        <v>0</v>
      </c>
      <c r="I59" s="358">
        <f>AUX!F357</f>
        <v>0</v>
      </c>
      <c r="J59" s="358">
        <f>AUX!G357</f>
        <v>0</v>
      </c>
      <c r="K59" s="148"/>
      <c r="L59" s="358" t="str">
        <f>IF(AUX!H357="","",AUX!H357)</f>
        <v/>
      </c>
      <c r="M59" s="358" t="str">
        <f>IF(AUX!I357="","",AUX!I357)</f>
        <v/>
      </c>
      <c r="N59" s="358" t="str">
        <f>IF(AUX!J357="","",AUX!J357)</f>
        <v/>
      </c>
      <c r="O59" s="22"/>
      <c r="Q59" s="569">
        <f>AUX!L357</f>
        <v>0</v>
      </c>
      <c r="R59" s="569">
        <f>AUX!M357</f>
        <v>0</v>
      </c>
      <c r="S59" s="569">
        <f>AUX!N357</f>
        <v>0</v>
      </c>
      <c r="T59" s="569">
        <f>AUX!O357</f>
        <v>0</v>
      </c>
      <c r="U59" s="569">
        <f>AUX!P357</f>
        <v>0</v>
      </c>
      <c r="V59" s="569">
        <f>AUX!Q357</f>
        <v>0</v>
      </c>
    </row>
    <row r="60" spans="1:22" ht="15" customHeight="1">
      <c r="A60" s="262"/>
      <c r="B60" s="362" t="s">
        <v>25</v>
      </c>
      <c r="C60" s="1"/>
      <c r="D60" s="363">
        <f>AUX!B358</f>
        <v>51.400976213582297</v>
      </c>
      <c r="E60" s="363">
        <f>AUX!C358</f>
        <v>73.603639305096337</v>
      </c>
      <c r="F60" s="363">
        <f>AUX!D358</f>
        <v>32.28458563559159</v>
      </c>
      <c r="G60" s="148"/>
      <c r="H60" s="358">
        <f>AUX!E358</f>
        <v>0</v>
      </c>
      <c r="I60" s="358">
        <f>AUX!F358</f>
        <v>0</v>
      </c>
      <c r="J60" s="358">
        <f>AUX!G358</f>
        <v>0</v>
      </c>
      <c r="K60" s="148"/>
      <c r="L60" s="358" t="str">
        <f>IF(AUX!H358="","",AUX!H358)</f>
        <v/>
      </c>
      <c r="M60" s="358" t="str">
        <f>IF(AUX!I358="","",AUX!I358)</f>
        <v/>
      </c>
      <c r="N60" s="358" t="str">
        <f>IF(AUX!J358="","",AUX!J358)</f>
        <v/>
      </c>
      <c r="O60" s="22"/>
      <c r="Q60" s="569">
        <f>AUX!L358</f>
        <v>0</v>
      </c>
      <c r="R60" s="569">
        <f>AUX!M358</f>
        <v>0</v>
      </c>
      <c r="S60" s="569">
        <f>AUX!N358</f>
        <v>0</v>
      </c>
      <c r="T60" s="569">
        <f>AUX!O358</f>
        <v>0</v>
      </c>
      <c r="U60" s="569">
        <f>AUX!P358</f>
        <v>0</v>
      </c>
      <c r="V60" s="569">
        <f>AUX!Q358</f>
        <v>0</v>
      </c>
    </row>
    <row r="61" spans="1:22" ht="15" customHeight="1">
      <c r="A61" s="262"/>
      <c r="B61" s="355" t="s">
        <v>31</v>
      </c>
      <c r="C61" s="1"/>
      <c r="D61" s="361">
        <f>AUX!B359</f>
        <v>16.754277057771265</v>
      </c>
      <c r="E61" s="361">
        <f>AUX!C359</f>
        <v>26.765370126739437</v>
      </c>
      <c r="F61" s="361">
        <f>AUX!D359</f>
        <v>8.0885097158697956</v>
      </c>
      <c r="G61" s="148"/>
      <c r="H61" s="358">
        <f>AUX!E359</f>
        <v>0</v>
      </c>
      <c r="I61" s="358">
        <f>AUX!F359</f>
        <v>0</v>
      </c>
      <c r="J61" s="358">
        <f>AUX!G359</f>
        <v>0</v>
      </c>
      <c r="K61" s="148"/>
      <c r="L61" s="358" t="str">
        <f>IF(AUX!H359="","",AUX!H359)</f>
        <v/>
      </c>
      <c r="M61" s="358" t="str">
        <f>IF(AUX!I359="","",AUX!I359)</f>
        <v/>
      </c>
      <c r="N61" s="358" t="str">
        <f>IF(AUX!J359="","",AUX!J359)</f>
        <v/>
      </c>
      <c r="O61" s="22"/>
      <c r="Q61" s="569">
        <f>AUX!L359</f>
        <v>0</v>
      </c>
      <c r="R61" s="569">
        <f>AUX!M359</f>
        <v>0</v>
      </c>
      <c r="S61" s="569">
        <f>AUX!N359</f>
        <v>0</v>
      </c>
      <c r="T61" s="569">
        <f>AUX!O359</f>
        <v>0</v>
      </c>
      <c r="U61" s="569">
        <f>AUX!P359</f>
        <v>0</v>
      </c>
      <c r="V61" s="569">
        <f>AUX!Q359</f>
        <v>0</v>
      </c>
    </row>
    <row r="62" spans="1:22" ht="15" customHeight="1">
      <c r="A62" s="262"/>
      <c r="B62" s="355" t="s">
        <v>32</v>
      </c>
      <c r="C62" s="1"/>
      <c r="D62" s="361">
        <f>AUX!B360</f>
        <v>20.088789287213078</v>
      </c>
      <c r="E62" s="361">
        <f>AUX!C360</f>
        <v>26.994411477403094</v>
      </c>
      <c r="F62" s="361">
        <f>AUX!D360</f>
        <v>14.194377084394555</v>
      </c>
      <c r="G62" s="148"/>
      <c r="H62" s="358">
        <f>AUX!E360</f>
        <v>0</v>
      </c>
      <c r="I62" s="358">
        <f>AUX!F360</f>
        <v>0</v>
      </c>
      <c r="J62" s="358">
        <f>AUX!G360</f>
        <v>0</v>
      </c>
      <c r="K62" s="148"/>
      <c r="L62" s="358" t="str">
        <f>IF(AUX!H360="","",AUX!H360)</f>
        <v/>
      </c>
      <c r="M62" s="358" t="str">
        <f>IF(AUX!I360="","",AUX!I360)</f>
        <v/>
      </c>
      <c r="N62" s="358" t="str">
        <f>IF(AUX!J360="","",AUX!J360)</f>
        <v/>
      </c>
      <c r="O62" s="22"/>
      <c r="Q62" s="569">
        <f>AUX!L360</f>
        <v>0</v>
      </c>
      <c r="R62" s="569">
        <f>AUX!M360</f>
        <v>0</v>
      </c>
      <c r="S62" s="569">
        <f>AUX!N360</f>
        <v>0</v>
      </c>
      <c r="T62" s="569">
        <f>AUX!O360</f>
        <v>0</v>
      </c>
      <c r="U62" s="569">
        <f>AUX!P360</f>
        <v>0</v>
      </c>
      <c r="V62" s="569">
        <f>AUX!Q360</f>
        <v>0</v>
      </c>
    </row>
    <row r="63" spans="1:22" ht="15" customHeight="1">
      <c r="A63" s="262"/>
      <c r="B63" s="362" t="s">
        <v>26</v>
      </c>
      <c r="C63" s="1"/>
      <c r="D63" s="363">
        <f>AUX!B361</f>
        <v>15.112021686265576</v>
      </c>
      <c r="E63" s="363">
        <f>AUX!C361</f>
        <v>22.806227178537906</v>
      </c>
      <c r="F63" s="363">
        <f>AUX!D361</f>
        <v>8.5830234999633337</v>
      </c>
      <c r="G63" s="148"/>
      <c r="H63" s="358">
        <f>AUX!E361</f>
        <v>0</v>
      </c>
      <c r="I63" s="358">
        <f>AUX!F361</f>
        <v>0</v>
      </c>
      <c r="J63" s="358">
        <f>AUX!G361</f>
        <v>0</v>
      </c>
      <c r="K63" s="148"/>
      <c r="L63" s="358" t="str">
        <f>IF(AUX!H361="","",AUX!H361)</f>
        <v/>
      </c>
      <c r="M63" s="358" t="str">
        <f>IF(AUX!I361="","",AUX!I361)</f>
        <v/>
      </c>
      <c r="N63" s="358" t="str">
        <f>IF(AUX!J361="","",AUX!J361)</f>
        <v/>
      </c>
      <c r="O63" s="22"/>
      <c r="Q63" s="569">
        <f>AUX!L361</f>
        <v>0</v>
      </c>
      <c r="R63" s="569">
        <f>AUX!M361</f>
        <v>0</v>
      </c>
      <c r="S63" s="569">
        <f>AUX!N361</f>
        <v>0</v>
      </c>
      <c r="T63" s="569">
        <f>AUX!O361</f>
        <v>0</v>
      </c>
      <c r="U63" s="569">
        <f>AUX!P361</f>
        <v>0</v>
      </c>
      <c r="V63" s="569">
        <f>AUX!Q361</f>
        <v>0</v>
      </c>
    </row>
    <row r="64" spans="1:22" ht="15" customHeight="1">
      <c r="A64" s="262"/>
      <c r="B64" s="355" t="s">
        <v>33</v>
      </c>
      <c r="C64" s="1"/>
      <c r="D64" s="361">
        <f>AUX!B362</f>
        <v>5.7085379637737432</v>
      </c>
      <c r="E64" s="361">
        <f>AUX!C362</f>
        <v>8.5379104985828818</v>
      </c>
      <c r="F64" s="361">
        <f>AUX!D362</f>
        <v>3.2840732028106432</v>
      </c>
      <c r="G64" s="148"/>
      <c r="H64" s="358">
        <f>AUX!E362</f>
        <v>0</v>
      </c>
      <c r="I64" s="358">
        <f>AUX!F362</f>
        <v>0</v>
      </c>
      <c r="J64" s="358">
        <f>AUX!G362</f>
        <v>0</v>
      </c>
      <c r="K64" s="148"/>
      <c r="L64" s="358" t="str">
        <f>IF(AUX!H362="","",AUX!H362)</f>
        <v/>
      </c>
      <c r="M64" s="358" t="str">
        <f>IF(AUX!I362="","",AUX!I362)</f>
        <v/>
      </c>
      <c r="N64" s="358" t="str">
        <f>IF(AUX!J362="","",AUX!J362)</f>
        <v/>
      </c>
      <c r="O64" s="22"/>
      <c r="Q64" s="569">
        <f>AUX!L362</f>
        <v>0</v>
      </c>
      <c r="R64" s="569">
        <f>AUX!M362</f>
        <v>0</v>
      </c>
      <c r="S64" s="569">
        <f>AUX!N362</f>
        <v>0</v>
      </c>
      <c r="T64" s="569">
        <f>AUX!O362</f>
        <v>0</v>
      </c>
      <c r="U64" s="569">
        <f>AUX!P362</f>
        <v>0</v>
      </c>
      <c r="V64" s="569">
        <f>AUX!Q362</f>
        <v>0</v>
      </c>
    </row>
    <row r="65" spans="1:22" ht="15" customHeight="1">
      <c r="A65" s="262"/>
      <c r="B65" s="355" t="s">
        <v>35</v>
      </c>
      <c r="C65" s="1"/>
      <c r="D65" s="361">
        <f>AUX!B363</f>
        <v>3.7031500911966289</v>
      </c>
      <c r="E65" s="361">
        <f>AUX!C363</f>
        <v>6.4621243386889127</v>
      </c>
      <c r="F65" s="361">
        <f>AUX!D363</f>
        <v>1.3979557498567905</v>
      </c>
      <c r="G65" s="148"/>
      <c r="H65" s="358">
        <f>AUX!E363</f>
        <v>0</v>
      </c>
      <c r="I65" s="358">
        <f>AUX!F363</f>
        <v>0</v>
      </c>
      <c r="J65" s="358">
        <f>AUX!G363</f>
        <v>0</v>
      </c>
      <c r="K65" s="148"/>
      <c r="L65" s="358" t="str">
        <f>IF(AUX!H363="","",AUX!H363)</f>
        <v/>
      </c>
      <c r="M65" s="358" t="str">
        <f>IF(AUX!I363="","",AUX!I363)</f>
        <v/>
      </c>
      <c r="N65" s="358" t="str">
        <f>IF(AUX!J363="","",AUX!J363)</f>
        <v/>
      </c>
      <c r="O65" s="22"/>
      <c r="Q65" s="569">
        <f>AUX!L363</f>
        <v>0</v>
      </c>
      <c r="R65" s="569">
        <f>AUX!M363</f>
        <v>0</v>
      </c>
      <c r="S65" s="569">
        <f>AUX!N363</f>
        <v>0</v>
      </c>
      <c r="T65" s="569">
        <f>AUX!O363</f>
        <v>0</v>
      </c>
      <c r="U65" s="569">
        <f>AUX!P363</f>
        <v>0</v>
      </c>
      <c r="V65" s="569">
        <f>AUX!Q363</f>
        <v>0</v>
      </c>
    </row>
    <row r="66" spans="1:22" ht="15" customHeight="1">
      <c r="A66" s="262"/>
      <c r="B66" s="362" t="s">
        <v>27</v>
      </c>
      <c r="C66" s="1"/>
      <c r="D66" s="363">
        <f>AUX!B364</f>
        <v>17.164977923084372</v>
      </c>
      <c r="E66" s="363">
        <f>AUX!C364</f>
        <v>26.933481391176404</v>
      </c>
      <c r="F66" s="363">
        <f>AUX!D364</f>
        <v>8.5420301251042936</v>
      </c>
      <c r="G66" s="148"/>
      <c r="H66" s="358">
        <f>AUX!E364</f>
        <v>0</v>
      </c>
      <c r="I66" s="358">
        <f>AUX!F364</f>
        <v>0</v>
      </c>
      <c r="J66" s="358">
        <f>AUX!G364</f>
        <v>0</v>
      </c>
      <c r="K66" s="148"/>
      <c r="L66" s="358" t="str">
        <f>IF(AUX!H364="","",AUX!H364)</f>
        <v/>
      </c>
      <c r="M66" s="358" t="str">
        <f>IF(AUX!I364="","",AUX!I364)</f>
        <v/>
      </c>
      <c r="N66" s="358" t="str">
        <f>IF(AUX!J364="","",AUX!J364)</f>
        <v/>
      </c>
      <c r="O66" s="22"/>
      <c r="Q66" s="569">
        <f>AUX!L364</f>
        <v>0</v>
      </c>
      <c r="R66" s="569">
        <f>AUX!M364</f>
        <v>0</v>
      </c>
      <c r="S66" s="569">
        <f>AUX!N364</f>
        <v>0</v>
      </c>
      <c r="T66" s="569">
        <f>AUX!O364</f>
        <v>0</v>
      </c>
      <c r="U66" s="569">
        <f>AUX!P364</f>
        <v>0</v>
      </c>
      <c r="V66" s="569">
        <f>AUX!Q364</f>
        <v>0</v>
      </c>
    </row>
    <row r="67" spans="1:22" ht="15" customHeight="1">
      <c r="A67" s="262"/>
      <c r="B67" s="355" t="s">
        <v>377</v>
      </c>
      <c r="C67" s="1"/>
      <c r="D67" s="361">
        <f>AUX!B365</f>
        <v>9.3273049444249292</v>
      </c>
      <c r="E67" s="361">
        <f>AUX!C365</f>
        <v>15.769363344260206</v>
      </c>
      <c r="F67" s="361">
        <f>AUX!D365</f>
        <v>3.6115602820940511</v>
      </c>
      <c r="G67" s="148"/>
      <c r="H67" s="358">
        <f>AUX!E365</f>
        <v>0</v>
      </c>
      <c r="I67" s="358">
        <f>AUX!F365</f>
        <v>0</v>
      </c>
      <c r="J67" s="358">
        <f>AUX!G365</f>
        <v>0</v>
      </c>
      <c r="K67" s="148"/>
      <c r="L67" s="358" t="str">
        <f>IF(AUX!H365="","",AUX!H365)</f>
        <v/>
      </c>
      <c r="M67" s="358" t="str">
        <f>IF(AUX!I365="","",AUX!I365)</f>
        <v/>
      </c>
      <c r="N67" s="358" t="str">
        <f>IF(AUX!J365="","",AUX!J365)</f>
        <v/>
      </c>
      <c r="O67" s="22"/>
      <c r="Q67" s="569">
        <f>AUX!L365</f>
        <v>0</v>
      </c>
      <c r="R67" s="569">
        <f>AUX!M365</f>
        <v>0</v>
      </c>
      <c r="S67" s="569">
        <f>AUX!N365</f>
        <v>0</v>
      </c>
      <c r="T67" s="569">
        <f>AUX!O365</f>
        <v>0</v>
      </c>
      <c r="U67" s="569">
        <f>AUX!P365</f>
        <v>0</v>
      </c>
      <c r="V67" s="569">
        <f>AUX!Q365</f>
        <v>0</v>
      </c>
    </row>
    <row r="68" spans="1:22" ht="15" customHeight="1">
      <c r="A68" s="262"/>
      <c r="B68" s="362" t="s">
        <v>378</v>
      </c>
      <c r="C68" s="1"/>
      <c r="D68" s="363">
        <f>AUX!B366</f>
        <v>24.78901102632728</v>
      </c>
      <c r="E68" s="363">
        <f>AUX!C366</f>
        <v>39.889796285684881</v>
      </c>
      <c r="F68" s="363">
        <f>AUX!D366</f>
        <v>10.808918462149995</v>
      </c>
      <c r="G68" s="148"/>
      <c r="H68" s="358">
        <f>AUX!E366</f>
        <v>0</v>
      </c>
      <c r="I68" s="358">
        <f>AUX!F366</f>
        <v>0</v>
      </c>
      <c r="J68" s="358">
        <f>AUX!G366</f>
        <v>0</v>
      </c>
      <c r="K68" s="148"/>
      <c r="L68" s="358" t="str">
        <f>IF(AUX!H366="","",AUX!H366)</f>
        <v/>
      </c>
      <c r="M68" s="358" t="str">
        <f>IF(AUX!I366="","",AUX!I366)</f>
        <v/>
      </c>
      <c r="N68" s="358" t="str">
        <f>IF(AUX!J366="","",AUX!J366)</f>
        <v/>
      </c>
      <c r="O68" s="22"/>
      <c r="Q68" s="569">
        <f>AUX!L366</f>
        <v>0</v>
      </c>
      <c r="R68" s="569">
        <f>AUX!M366</f>
        <v>0</v>
      </c>
      <c r="S68" s="569">
        <f>AUX!N366</f>
        <v>0</v>
      </c>
      <c r="T68" s="569">
        <f>AUX!O366</f>
        <v>0</v>
      </c>
      <c r="U68" s="569">
        <f>AUX!P366</f>
        <v>0</v>
      </c>
      <c r="V68" s="569">
        <f>AUX!Q366</f>
        <v>0</v>
      </c>
    </row>
    <row r="69" spans="1:22" ht="15" customHeight="1">
      <c r="A69" s="262"/>
      <c r="B69" s="356" t="s">
        <v>34</v>
      </c>
      <c r="C69" s="1"/>
      <c r="D69" s="359">
        <f>AUX!B367</f>
        <v>7.9619094843881495</v>
      </c>
      <c r="E69" s="359">
        <f>AUX!C367</f>
        <v>12.945922208158889</v>
      </c>
      <c r="F69" s="359">
        <f>AUX!D367</f>
        <v>3.2583734608994184</v>
      </c>
      <c r="G69" s="148"/>
      <c r="H69" s="358">
        <f>AUX!E367</f>
        <v>0</v>
      </c>
      <c r="I69" s="358">
        <f>AUX!F367</f>
        <v>0</v>
      </c>
      <c r="J69" s="358">
        <f>AUX!G367</f>
        <v>0</v>
      </c>
      <c r="K69" s="148"/>
      <c r="L69" s="358" t="str">
        <f>IF(AUX!H367="","",AUX!H367)</f>
        <v/>
      </c>
      <c r="M69" s="358" t="str">
        <f>IF(AUX!I367="","",AUX!I367)</f>
        <v/>
      </c>
      <c r="N69" s="358" t="str">
        <f>IF(AUX!J367="","",AUX!J367)</f>
        <v/>
      </c>
      <c r="O69" s="22"/>
      <c r="Q69" s="569">
        <f>AUX!L367</f>
        <v>0</v>
      </c>
      <c r="R69" s="569">
        <f>AUX!M367</f>
        <v>0</v>
      </c>
      <c r="S69" s="569">
        <f>AUX!N367</f>
        <v>0</v>
      </c>
      <c r="T69" s="569">
        <f>AUX!O367</f>
        <v>0</v>
      </c>
      <c r="U69" s="569">
        <f>AUX!P367</f>
        <v>0</v>
      </c>
      <c r="V69" s="569">
        <f>AUX!Q367</f>
        <v>0</v>
      </c>
    </row>
    <row r="70" spans="1:22" ht="15" customHeight="1">
      <c r="A70" s="262"/>
      <c r="B70" s="355" t="s">
        <v>379</v>
      </c>
      <c r="C70" s="1"/>
      <c r="D70" s="361">
        <f>AUX!B368</f>
        <v>7.519812140316426</v>
      </c>
      <c r="E70" s="361">
        <f>AUX!C368</f>
        <v>12.166303353659698</v>
      </c>
      <c r="F70" s="361">
        <f>AUX!D368</f>
        <v>3.1178370871648293</v>
      </c>
      <c r="G70" s="148"/>
      <c r="H70" s="358">
        <f>AUX!E368</f>
        <v>0</v>
      </c>
      <c r="I70" s="358">
        <f>AUX!F368</f>
        <v>0</v>
      </c>
      <c r="J70" s="358">
        <f>AUX!G368</f>
        <v>0</v>
      </c>
      <c r="K70" s="148"/>
      <c r="L70" s="358" t="str">
        <f>IF(AUX!H368="","",AUX!H368)</f>
        <v/>
      </c>
      <c r="M70" s="358" t="str">
        <f>IF(AUX!I368="","",AUX!I368)</f>
        <v/>
      </c>
      <c r="N70" s="358" t="str">
        <f>IF(AUX!J368="","",AUX!J368)</f>
        <v/>
      </c>
      <c r="O70" s="22"/>
      <c r="Q70" s="569">
        <f>AUX!L368</f>
        <v>0</v>
      </c>
      <c r="R70" s="569">
        <f>AUX!M368</f>
        <v>0</v>
      </c>
      <c r="S70" s="569">
        <f>AUX!N368</f>
        <v>0</v>
      </c>
      <c r="T70" s="569">
        <f>AUX!O368</f>
        <v>0</v>
      </c>
      <c r="U70" s="569">
        <f>AUX!P368</f>
        <v>0</v>
      </c>
      <c r="V70" s="569">
        <f>AUX!Q368</f>
        <v>0</v>
      </c>
    </row>
    <row r="71" spans="1:22" ht="15" customHeight="1">
      <c r="A71" s="262"/>
      <c r="B71" s="356" t="s">
        <v>380</v>
      </c>
      <c r="C71" s="1"/>
      <c r="D71" s="359">
        <f>AUX!B369</f>
        <v>6.8697770776853693</v>
      </c>
      <c r="E71" s="359">
        <f>AUX!C369</f>
        <v>10.994107032977881</v>
      </c>
      <c r="F71" s="359">
        <f>AUX!D369</f>
        <v>3.1023585137134</v>
      </c>
      <c r="G71" s="148"/>
      <c r="H71" s="358">
        <f>AUX!E369</f>
        <v>0</v>
      </c>
      <c r="I71" s="358">
        <f>AUX!F369</f>
        <v>0</v>
      </c>
      <c r="J71" s="358">
        <f>AUX!G369</f>
        <v>0</v>
      </c>
      <c r="K71" s="148"/>
      <c r="L71" s="358" t="str">
        <f>IF(AUX!H369="","",AUX!H369)</f>
        <v/>
      </c>
      <c r="M71" s="358" t="str">
        <f>IF(AUX!I369="","",AUX!I369)</f>
        <v/>
      </c>
      <c r="N71" s="358" t="str">
        <f>IF(AUX!J369="","",AUX!J369)</f>
        <v/>
      </c>
      <c r="O71" s="22"/>
      <c r="Q71" s="569">
        <f>AUX!L369</f>
        <v>0</v>
      </c>
      <c r="R71" s="569">
        <f>AUX!M369</f>
        <v>0</v>
      </c>
      <c r="S71" s="569">
        <f>AUX!N369</f>
        <v>0</v>
      </c>
      <c r="T71" s="569">
        <f>AUX!O369</f>
        <v>0</v>
      </c>
      <c r="U71" s="569">
        <f>AUX!P369</f>
        <v>0</v>
      </c>
      <c r="V71" s="569">
        <f>AUX!Q369</f>
        <v>0</v>
      </c>
    </row>
    <row r="72" spans="1:22" ht="15" customHeight="1">
      <c r="A72" s="22"/>
      <c r="B72" s="800" t="str">
        <f>AUX!A2 &amp; ": TMP ARS vs TMP Continente  ;  " &amp; AUX!A3 &amp; ": TMP ACeS/ULS vs TMP ARS"</f>
        <v>: TMP ARS vs TMP Continente  ;  : TMP ACeS/ULS vs TMP ARS</v>
      </c>
      <c r="C72" s="800"/>
      <c r="D72" s="800"/>
      <c r="E72" s="800"/>
      <c r="F72" s="800"/>
      <c r="G72" s="800"/>
      <c r="H72" s="800"/>
      <c r="I72" s="800"/>
      <c r="J72" s="796" t="s">
        <v>550</v>
      </c>
      <c r="K72" s="796"/>
      <c r="L72" s="796"/>
      <c r="M72" s="796"/>
      <c r="N72" s="796"/>
      <c r="O72" s="22"/>
    </row>
    <row r="73" spans="1:22" ht="12.95" customHeight="1">
      <c r="A73" s="479"/>
      <c r="B73" s="546" t="s">
        <v>51</v>
      </c>
      <c r="C73" s="546"/>
      <c r="D73" s="546"/>
      <c r="E73" s="546"/>
      <c r="F73" s="478"/>
      <c r="G73" s="478"/>
      <c r="H73" s="478"/>
      <c r="I73" s="478"/>
      <c r="J73" s="478"/>
      <c r="K73" s="5"/>
      <c r="L73" s="3"/>
      <c r="M73" s="3"/>
      <c r="N73" s="4"/>
      <c r="O73" s="479"/>
    </row>
    <row r="74" spans="1:22" ht="12.95" customHeight="1">
      <c r="A74" s="479"/>
      <c r="B74" s="560" t="s">
        <v>685</v>
      </c>
      <c r="C74" s="546"/>
      <c r="D74" s="546"/>
      <c r="E74" s="546"/>
      <c r="F74" s="557"/>
      <c r="G74" s="557"/>
      <c r="H74" s="557"/>
      <c r="I74" s="557"/>
      <c r="J74" s="557"/>
      <c r="K74" s="5"/>
      <c r="L74" s="3"/>
      <c r="M74" s="3"/>
      <c r="N74" s="4"/>
      <c r="O74" s="479"/>
    </row>
    <row r="75" spans="1:22" ht="12.95" customHeight="1">
      <c r="A75" s="479"/>
      <c r="B75" s="560" t="s">
        <v>684</v>
      </c>
      <c r="C75" s="546"/>
      <c r="D75" s="546"/>
      <c r="E75" s="546"/>
      <c r="F75" s="586"/>
      <c r="G75" s="586"/>
      <c r="H75" s="586"/>
      <c r="I75" s="586"/>
      <c r="J75" s="586"/>
      <c r="K75" s="5"/>
      <c r="L75" s="3"/>
      <c r="M75" s="3"/>
      <c r="N75" s="4"/>
      <c r="O75" s="479"/>
    </row>
    <row r="76" spans="1:22" ht="20.100000000000001" customHeight="1">
      <c r="A76" s="22"/>
      <c r="B76" s="149" t="s">
        <v>28</v>
      </c>
      <c r="D76" s="22"/>
      <c r="E76" s="22"/>
      <c r="F76" s="22"/>
      <c r="H76" s="2"/>
      <c r="I76" s="2"/>
      <c r="J76" s="2"/>
      <c r="K76" s="2"/>
      <c r="L76" s="3"/>
      <c r="M76" s="3"/>
      <c r="N76" s="4"/>
      <c r="O76" s="22"/>
    </row>
    <row r="77" spans="1:22" ht="14.25" customHeight="1">
      <c r="A77" s="22"/>
      <c r="B77" s="22"/>
      <c r="D77" s="22"/>
      <c r="E77" s="22"/>
      <c r="F77" s="22"/>
      <c r="H77" s="22"/>
      <c r="I77" s="22"/>
      <c r="J77" s="22"/>
      <c r="K77" s="22"/>
      <c r="L77" s="22"/>
      <c r="M77" s="22"/>
      <c r="N77" s="22"/>
      <c r="O77" s="22"/>
    </row>
    <row r="78" spans="1:22" ht="15" customHeight="1">
      <c r="A78" s="22"/>
      <c r="B78" s="22"/>
      <c r="D78" s="22"/>
      <c r="E78" s="22"/>
      <c r="F78" s="22"/>
      <c r="H78" s="2"/>
      <c r="I78" s="2"/>
      <c r="J78" s="2"/>
      <c r="K78" s="2"/>
      <c r="L78" s="3"/>
      <c r="M78" s="3"/>
      <c r="N78" s="3"/>
      <c r="O78" s="22"/>
    </row>
    <row r="79" spans="1:22" ht="15" customHeight="1">
      <c r="A79" s="22"/>
      <c r="B79" s="22"/>
      <c r="D79" s="22"/>
      <c r="E79" s="22"/>
      <c r="F79" s="22"/>
      <c r="H79" s="2"/>
      <c r="I79" s="2"/>
      <c r="J79" s="2"/>
      <c r="K79" s="2"/>
      <c r="L79" s="3"/>
      <c r="M79" s="3"/>
      <c r="N79" s="3"/>
      <c r="O79" s="22"/>
    </row>
    <row r="80" spans="1:22" ht="15" customHeight="1" thickBot="1">
      <c r="A80" s="22"/>
      <c r="B80" s="22"/>
      <c r="D80" s="22"/>
      <c r="E80" s="22"/>
      <c r="F80" s="22"/>
      <c r="H80" s="2"/>
      <c r="I80" s="2"/>
      <c r="J80" s="2"/>
      <c r="K80" s="2"/>
      <c r="L80" s="3"/>
      <c r="M80" s="3"/>
      <c r="N80" s="3"/>
      <c r="O80" s="22"/>
    </row>
    <row r="81" spans="1:15" ht="9.9499999999999993" customHeight="1">
      <c r="A81" s="22"/>
      <c r="B81" s="799"/>
      <c r="C81" s="799"/>
      <c r="D81" s="799"/>
      <c r="E81" s="799"/>
      <c r="F81" s="799"/>
      <c r="G81" s="799"/>
      <c r="H81" s="799"/>
      <c r="I81" s="799"/>
      <c r="J81" s="799"/>
      <c r="K81" s="799"/>
      <c r="L81" s="799"/>
      <c r="M81" s="799"/>
      <c r="N81" s="799"/>
      <c r="O81" s="22"/>
    </row>
  </sheetData>
  <mergeCells count="28">
    <mergeCell ref="H2:N2"/>
    <mergeCell ref="B2:D2"/>
    <mergeCell ref="B17:N17"/>
    <mergeCell ref="B32:N32"/>
    <mergeCell ref="B34:B35"/>
    <mergeCell ref="D34:F34"/>
    <mergeCell ref="H34:J34"/>
    <mergeCell ref="L34:N34"/>
    <mergeCell ref="B21:E30"/>
    <mergeCell ref="G21:N21"/>
    <mergeCell ref="B11:G11"/>
    <mergeCell ref="B12:G12"/>
    <mergeCell ref="B13:G13"/>
    <mergeCell ref="H23:N23"/>
    <mergeCell ref="H27:N27"/>
    <mergeCell ref="H25:N25"/>
    <mergeCell ref="B6:N6"/>
    <mergeCell ref="B7:G7"/>
    <mergeCell ref="B8:G8"/>
    <mergeCell ref="B9:G9"/>
    <mergeCell ref="B10:G10"/>
    <mergeCell ref="H29:N29"/>
    <mergeCell ref="B81:N81"/>
    <mergeCell ref="B14:G14"/>
    <mergeCell ref="B15:G15"/>
    <mergeCell ref="B72:I72"/>
    <mergeCell ref="J72:N72"/>
    <mergeCell ref="B19:L19"/>
  </mergeCells>
  <conditionalFormatting sqref="H55:H71 I54:I71 H52:I52 H36:I50 J36:J53 J55:J71">
    <cfRule type="expression" dxfId="7" priority="5">
      <formula>Q36=-2</formula>
    </cfRule>
    <cfRule type="expression" dxfId="6" priority="6">
      <formula>Q36=-1</formula>
    </cfRule>
    <cfRule type="expression" dxfId="5" priority="7">
      <formula>Q36=1</formula>
    </cfRule>
    <cfRule type="expression" dxfId="4" priority="8">
      <formula>Q36=2</formula>
    </cfRule>
  </conditionalFormatting>
  <conditionalFormatting sqref="L36:N50 N36:N53 L52:M52 M54:M71 L55:N71">
    <cfRule type="expression" dxfId="3" priority="1">
      <formula>T36=-2</formula>
    </cfRule>
    <cfRule type="expression" dxfId="2" priority="2">
      <formula>T36=-1</formula>
    </cfRule>
    <cfRule type="expression" dxfId="1" priority="3">
      <formula>T36=1</formula>
    </cfRule>
    <cfRule type="expression" dxfId="0" priority="4">
      <formula>T36=2</formula>
    </cfRule>
  </conditionalFormatting>
  <hyperlinks>
    <hyperlink ref="B4" location="INDICE!A1" display="Índice"/>
    <hyperlink ref="B76" location="'D02'!A1" display="Topo"/>
    <hyperlink ref="B9" location="'D01'!A16" display="Óbitos e Taxa Bruta de Mortalidade"/>
    <hyperlink ref="B7:G7" location="'D01'!A17" display="Nascimentos Pré-Termo e Baixo Peso à Nascença"/>
    <hyperlink ref="B9:G9" location="'D01'!A45" display="Óbitos e Taxa Bruta de Mortalidade"/>
    <hyperlink ref="B10:G10" location="'D01'!A63" display="Mortalidade Infantil e Componentes"/>
    <hyperlink ref="B11:G11" location="'D02'!A17" display="Mortalidade Proporcional"/>
    <hyperlink ref="B12:G12" location="'D03'!A17" display="Taxa de Mortalidade Padronizada pela idade (TMP)"/>
    <hyperlink ref="B13:G13" location="'D04'!A17" display="Morbilidade nos Cuidados de Saúde Primários"/>
    <hyperlink ref="B14:G14" location="'D05'!A17" display="VIH /sida"/>
    <hyperlink ref="B15:G15" location="'D05'!A79" display="Tuberculose"/>
  </hyperlinks>
  <pageMargins left="0.39370078740157483" right="0.19685039370078741" top="0.59055118110236227" bottom="0.39370078740157483" header="0.31496062992125984" footer="0.31496062992125984"/>
  <pageSetup paperSize="9" scale="63" orientation="portrait" r:id="rId1"/>
</worksheet>
</file>

<file path=xl/worksheets/sheet11.xml><?xml version="1.0" encoding="utf-8"?>
<worksheet xmlns="http://schemas.openxmlformats.org/spreadsheetml/2006/main" xmlns:r="http://schemas.openxmlformats.org/officeDocument/2006/relationships">
  <sheetPr codeName="Folha10"/>
  <dimension ref="A1:O107"/>
  <sheetViews>
    <sheetView zoomScaleNormal="100" workbookViewId="0"/>
  </sheetViews>
  <sheetFormatPr defaultRowHeight="14.25"/>
  <cols>
    <col min="1" max="1" width="2.7109375" style="6" customWidth="1"/>
    <col min="2" max="2" width="40.7109375" style="6" customWidth="1"/>
    <col min="3" max="14" width="7.85546875" style="6" customWidth="1"/>
    <col min="15" max="15" width="2.7109375" style="6" customWidth="1"/>
    <col min="16" max="16384" width="9.140625" style="6"/>
  </cols>
  <sheetData>
    <row r="1" spans="1:15" ht="9.9499999999999993" customHeight="1">
      <c r="A1" s="146"/>
      <c r="B1" s="146"/>
      <c r="C1" s="146"/>
      <c r="D1" s="146"/>
      <c r="E1" s="146"/>
      <c r="F1" s="146"/>
      <c r="G1" s="146"/>
      <c r="H1" s="146"/>
      <c r="I1" s="146"/>
      <c r="J1" s="146"/>
      <c r="K1" s="146"/>
      <c r="L1" s="146"/>
      <c r="M1" s="146"/>
      <c r="N1" s="146"/>
      <c r="O1" s="146"/>
    </row>
    <row r="2" spans="1:15" ht="20.100000000000001" customHeight="1" thickBot="1">
      <c r="A2" s="146"/>
      <c r="B2" s="775" t="str">
        <f>AUX!A1</f>
        <v>Perfil Local de Saúde 2014</v>
      </c>
      <c r="C2" s="775"/>
      <c r="D2" s="775"/>
      <c r="E2" s="775"/>
      <c r="F2" s="131"/>
      <c r="G2" s="131"/>
      <c r="H2" s="829">
        <f>AUX!A3</f>
        <v>0</v>
      </c>
      <c r="I2" s="829"/>
      <c r="J2" s="829"/>
      <c r="K2" s="829"/>
      <c r="L2" s="829"/>
      <c r="M2" s="829"/>
      <c r="N2" s="829"/>
      <c r="O2" s="146"/>
    </row>
    <row r="3" spans="1:15" ht="9.9499999999999993" customHeight="1" thickTop="1">
      <c r="A3" s="146"/>
      <c r="B3" s="146"/>
      <c r="C3" s="146"/>
      <c r="D3" s="146"/>
      <c r="E3" s="146"/>
      <c r="F3" s="146"/>
      <c r="G3" s="146"/>
      <c r="H3" s="146"/>
      <c r="I3" s="146"/>
      <c r="J3" s="146"/>
      <c r="K3" s="146"/>
      <c r="L3" s="146"/>
      <c r="M3" s="146"/>
      <c r="N3" s="146"/>
      <c r="O3" s="146"/>
    </row>
    <row r="4" spans="1:15">
      <c r="A4" s="146"/>
      <c r="B4" s="135" t="s">
        <v>0</v>
      </c>
      <c r="C4" s="146"/>
      <c r="D4" s="146"/>
      <c r="E4" s="146"/>
      <c r="F4" s="146"/>
      <c r="G4" s="146"/>
      <c r="H4" s="146"/>
      <c r="I4" s="146"/>
      <c r="J4" s="146"/>
      <c r="K4" s="146"/>
      <c r="L4" s="146"/>
      <c r="M4" s="146"/>
      <c r="N4" s="146"/>
      <c r="O4" s="146"/>
    </row>
    <row r="5" spans="1:15" ht="15" customHeight="1">
      <c r="A5" s="146"/>
      <c r="B5" s="21"/>
      <c r="C5" s="146"/>
      <c r="D5" s="146"/>
      <c r="E5" s="146"/>
      <c r="F5" s="146"/>
      <c r="G5" s="146"/>
      <c r="H5" s="146"/>
      <c r="I5" s="146"/>
      <c r="J5" s="146"/>
      <c r="K5" s="146"/>
      <c r="L5" s="146"/>
      <c r="M5" s="146"/>
      <c r="N5" s="146"/>
      <c r="O5" s="146"/>
    </row>
    <row r="6" spans="1:15" s="133" customFormat="1" ht="24.95" customHeight="1">
      <c r="A6" s="132"/>
      <c r="B6" s="777" t="s">
        <v>7</v>
      </c>
      <c r="C6" s="777"/>
      <c r="D6" s="777"/>
      <c r="E6" s="777"/>
      <c r="F6" s="777"/>
      <c r="G6" s="777"/>
      <c r="H6" s="777"/>
      <c r="I6" s="777"/>
      <c r="J6" s="777"/>
      <c r="K6" s="777"/>
      <c r="L6" s="777"/>
      <c r="M6" s="777"/>
      <c r="N6" s="777"/>
      <c r="O6" s="132"/>
    </row>
    <row r="7" spans="1:15" ht="18" customHeight="1">
      <c r="A7" s="385"/>
      <c r="B7" s="774" t="s">
        <v>178</v>
      </c>
      <c r="C7" s="774"/>
      <c r="D7" s="774"/>
      <c r="E7" s="774"/>
      <c r="F7" s="774"/>
      <c r="G7" s="774"/>
      <c r="H7" s="385"/>
      <c r="I7" s="385"/>
      <c r="J7" s="385"/>
      <c r="K7" s="385"/>
      <c r="L7" s="385"/>
      <c r="M7" s="385"/>
      <c r="N7" s="385"/>
      <c r="O7" s="385"/>
    </row>
    <row r="8" spans="1:15" ht="15" customHeight="1">
      <c r="A8" s="385"/>
      <c r="B8" s="778" t="s">
        <v>38</v>
      </c>
      <c r="C8" s="778"/>
      <c r="D8" s="778"/>
      <c r="E8" s="778"/>
      <c r="F8" s="778"/>
      <c r="G8" s="778"/>
      <c r="H8" s="385"/>
      <c r="I8" s="385"/>
      <c r="J8" s="385"/>
      <c r="K8" s="385"/>
      <c r="L8" s="385"/>
      <c r="M8" s="385"/>
      <c r="N8" s="385"/>
      <c r="O8" s="385"/>
    </row>
    <row r="9" spans="1:15" ht="15" customHeight="1">
      <c r="A9" s="385"/>
      <c r="B9" s="773" t="s">
        <v>41</v>
      </c>
      <c r="C9" s="773"/>
      <c r="D9" s="773"/>
      <c r="E9" s="773"/>
      <c r="F9" s="773"/>
      <c r="G9" s="773"/>
      <c r="H9" s="385"/>
      <c r="I9" s="385"/>
      <c r="J9" s="385"/>
      <c r="K9" s="385"/>
      <c r="L9" s="385"/>
      <c r="M9" s="385"/>
      <c r="N9" s="385"/>
      <c r="O9" s="385"/>
    </row>
    <row r="10" spans="1:15" ht="15" customHeight="1">
      <c r="A10" s="385"/>
      <c r="B10" s="773" t="s">
        <v>127</v>
      </c>
      <c r="C10" s="773"/>
      <c r="D10" s="773"/>
      <c r="E10" s="773"/>
      <c r="F10" s="773"/>
      <c r="G10" s="773"/>
      <c r="H10" s="385"/>
      <c r="I10" s="385"/>
      <c r="J10" s="385"/>
      <c r="K10" s="385"/>
      <c r="L10" s="385"/>
      <c r="M10" s="385"/>
      <c r="N10" s="385"/>
      <c r="O10" s="385"/>
    </row>
    <row r="11" spans="1:15" ht="15" customHeight="1">
      <c r="A11" s="385"/>
      <c r="B11" s="773" t="s">
        <v>40</v>
      </c>
      <c r="C11" s="773"/>
      <c r="D11" s="773"/>
      <c r="E11" s="773"/>
      <c r="F11" s="773"/>
      <c r="G11" s="773"/>
      <c r="H11" s="134"/>
      <c r="I11" s="385"/>
      <c r="J11" s="385"/>
      <c r="K11" s="385"/>
      <c r="L11" s="385"/>
      <c r="M11" s="385"/>
      <c r="N11" s="385"/>
      <c r="O11" s="385"/>
    </row>
    <row r="12" spans="1:15" ht="15" customHeight="1">
      <c r="A12" s="385"/>
      <c r="B12" s="773" t="s">
        <v>364</v>
      </c>
      <c r="C12" s="773"/>
      <c r="D12" s="773"/>
      <c r="E12" s="773"/>
      <c r="F12" s="773"/>
      <c r="G12" s="773"/>
      <c r="H12" s="385"/>
      <c r="I12" s="385"/>
      <c r="J12" s="385"/>
      <c r="K12" s="385"/>
      <c r="L12" s="385"/>
      <c r="M12" s="385"/>
      <c r="N12" s="385"/>
      <c r="O12" s="385"/>
    </row>
    <row r="13" spans="1:15" ht="15" customHeight="1">
      <c r="A13" s="385"/>
      <c r="B13" s="774" t="s">
        <v>462</v>
      </c>
      <c r="C13" s="774"/>
      <c r="D13" s="774"/>
      <c r="E13" s="774"/>
      <c r="F13" s="774"/>
      <c r="G13" s="774"/>
      <c r="H13" s="385"/>
      <c r="I13" s="385"/>
      <c r="J13" s="385"/>
      <c r="K13" s="385"/>
      <c r="L13" s="385"/>
      <c r="M13" s="385"/>
      <c r="N13" s="385"/>
      <c r="O13" s="385"/>
    </row>
    <row r="14" spans="1:15" ht="15" customHeight="1">
      <c r="A14" s="385"/>
      <c r="B14" s="774" t="s">
        <v>125</v>
      </c>
      <c r="C14" s="774"/>
      <c r="D14" s="774"/>
      <c r="E14" s="774"/>
      <c r="F14" s="774"/>
      <c r="G14" s="774"/>
      <c r="H14" s="385"/>
      <c r="I14" s="385"/>
      <c r="J14" s="385"/>
      <c r="K14" s="385"/>
      <c r="L14" s="385"/>
      <c r="M14" s="385"/>
      <c r="N14" s="385"/>
      <c r="O14" s="385"/>
    </row>
    <row r="15" spans="1:15" ht="15" customHeight="1">
      <c r="A15" s="385"/>
      <c r="B15" s="774" t="s">
        <v>29</v>
      </c>
      <c r="C15" s="774"/>
      <c r="D15" s="774"/>
      <c r="E15" s="774"/>
      <c r="F15" s="774"/>
      <c r="G15" s="774"/>
      <c r="H15" s="385"/>
      <c r="I15" s="385"/>
      <c r="J15" s="385"/>
      <c r="K15" s="385"/>
      <c r="L15" s="385"/>
      <c r="M15" s="385"/>
      <c r="N15" s="385"/>
      <c r="O15" s="385"/>
    </row>
    <row r="16" spans="1:15" ht="20.100000000000001" customHeight="1">
      <c r="A16" s="146"/>
      <c r="B16" s="146"/>
      <c r="C16" s="146"/>
      <c r="D16" s="146"/>
      <c r="E16" s="146"/>
      <c r="F16" s="146"/>
      <c r="G16" s="146"/>
      <c r="H16" s="146"/>
      <c r="I16" s="146"/>
      <c r="J16" s="146"/>
      <c r="K16" s="146"/>
      <c r="L16" s="146"/>
      <c r="M16" s="146"/>
      <c r="N16" s="146"/>
      <c r="O16" s="146"/>
    </row>
    <row r="17" spans="1:15" ht="20.100000000000001" customHeight="1" thickBot="1">
      <c r="A17" s="146"/>
      <c r="B17" s="785" t="s">
        <v>462</v>
      </c>
      <c r="C17" s="785"/>
      <c r="D17" s="785"/>
      <c r="E17" s="785"/>
      <c r="F17" s="785"/>
      <c r="G17" s="785"/>
      <c r="H17" s="785"/>
      <c r="I17" s="785"/>
      <c r="J17" s="785"/>
      <c r="K17" s="785"/>
      <c r="L17" s="785"/>
      <c r="M17" s="785"/>
      <c r="N17" s="785"/>
      <c r="O17" s="146"/>
    </row>
    <row r="18" spans="1:15" ht="9.9499999999999993" customHeight="1">
      <c r="A18" s="22"/>
      <c r="B18" s="22"/>
      <c r="C18" s="22"/>
      <c r="D18" s="22"/>
      <c r="E18" s="22"/>
      <c r="F18" s="22"/>
      <c r="G18" s="22"/>
      <c r="H18" s="22"/>
      <c r="I18" s="22"/>
      <c r="J18" s="22"/>
      <c r="K18" s="22"/>
      <c r="L18" s="22"/>
      <c r="M18" s="22"/>
      <c r="N18" s="22"/>
      <c r="O18" s="22"/>
    </row>
    <row r="19" spans="1:15" ht="14.1" customHeight="1">
      <c r="A19" s="477"/>
      <c r="B19" s="782" t="s">
        <v>672</v>
      </c>
      <c r="C19" s="782"/>
      <c r="D19" s="782"/>
      <c r="E19" s="782"/>
      <c r="F19" s="782"/>
      <c r="G19" s="782"/>
      <c r="H19" s="782"/>
      <c r="I19" s="782"/>
      <c r="J19" s="782"/>
      <c r="K19" s="782"/>
      <c r="L19" s="782"/>
      <c r="M19" s="782"/>
      <c r="N19" s="782"/>
      <c r="O19" s="477"/>
    </row>
    <row r="20" spans="1:15" ht="5.0999999999999996" customHeight="1">
      <c r="A20" s="477"/>
      <c r="B20" s="27"/>
      <c r="C20" s="27"/>
      <c r="D20" s="27"/>
      <c r="E20" s="27"/>
      <c r="F20" s="27"/>
      <c r="G20" s="27"/>
      <c r="H20" s="27"/>
      <c r="I20" s="27"/>
      <c r="J20" s="27"/>
      <c r="K20" s="27"/>
      <c r="L20" s="27"/>
      <c r="M20" s="27"/>
      <c r="N20" s="27"/>
      <c r="O20" s="477"/>
    </row>
    <row r="21" spans="1:15" ht="30" customHeight="1">
      <c r="A21" s="477"/>
      <c r="B21" s="834" t="s">
        <v>346</v>
      </c>
      <c r="C21" s="831" t="s">
        <v>16</v>
      </c>
      <c r="D21" s="832"/>
      <c r="E21" s="833"/>
      <c r="F21" s="831">
        <f>AUX!A2</f>
        <v>0</v>
      </c>
      <c r="G21" s="832"/>
      <c r="H21" s="833"/>
      <c r="I21" s="831">
        <f>AUX!C5</f>
        <v>0</v>
      </c>
      <c r="J21" s="832"/>
      <c r="K21" s="833"/>
      <c r="L21" s="831" t="str">
        <f>IF(AUX!B5=2,AUX!D5,"")</f>
        <v/>
      </c>
      <c r="M21" s="832"/>
      <c r="N21" s="833"/>
      <c r="O21" s="151"/>
    </row>
    <row r="22" spans="1:15" ht="14.1" customHeight="1">
      <c r="A22" s="477"/>
      <c r="B22" s="835"/>
      <c r="C22" s="488" t="s">
        <v>13</v>
      </c>
      <c r="D22" s="488" t="s">
        <v>14</v>
      </c>
      <c r="E22" s="488" t="s">
        <v>15</v>
      </c>
      <c r="F22" s="488" t="s">
        <v>13</v>
      </c>
      <c r="G22" s="488" t="s">
        <v>14</v>
      </c>
      <c r="H22" s="488" t="s">
        <v>15</v>
      </c>
      <c r="I22" s="488" t="s">
        <v>13</v>
      </c>
      <c r="J22" s="488" t="s">
        <v>14</v>
      </c>
      <c r="K22" s="488" t="s">
        <v>15</v>
      </c>
      <c r="L22" s="488" t="str">
        <f>IF(AUX!B5=2,"HM","")</f>
        <v/>
      </c>
      <c r="M22" s="488" t="str">
        <f>IF(AUX!B5=2,"H","")</f>
        <v/>
      </c>
      <c r="N22" s="488" t="str">
        <f>IF(AUX!B5=2,"M","")</f>
        <v/>
      </c>
      <c r="O22" s="151"/>
    </row>
    <row r="23" spans="1:15" ht="15.95" customHeight="1">
      <c r="A23" s="477"/>
      <c r="B23" s="456" t="str">
        <f>AUX!S376</f>
        <v>Neoplasia maligna do estômago (D74)</v>
      </c>
      <c r="C23" s="138">
        <f>AUX!U376</f>
        <v>0.11052866387367853</v>
      </c>
      <c r="D23" s="138">
        <f>AUX!V376</f>
        <v>0.13038845304883845</v>
      </c>
      <c r="E23" s="138">
        <f>AUX!W376</f>
        <v>9.2774839713665527E-2</v>
      </c>
      <c r="F23" s="138">
        <f>AUX!X376</f>
        <v>0</v>
      </c>
      <c r="G23" s="138">
        <f>AUX!Y376</f>
        <v>0</v>
      </c>
      <c r="H23" s="138">
        <f>AUX!Z376</f>
        <v>0</v>
      </c>
      <c r="I23" s="489">
        <f>AUX!AA376</f>
        <v>0</v>
      </c>
      <c r="J23" s="138">
        <f>AUX!AB376</f>
        <v>0</v>
      </c>
      <c r="K23" s="138">
        <f>AUX!AC376</f>
        <v>0</v>
      </c>
      <c r="L23" s="138" t="str">
        <f>IF(AUX!$B$5=2,AUX!AD376,"")</f>
        <v/>
      </c>
      <c r="M23" s="138" t="str">
        <f>IF(AUX!$B$5=2,AUX!AE376,"")</f>
        <v/>
      </c>
      <c r="N23" s="138" t="str">
        <f>IF(AUX!$B$5=2,AUX!AF376,"")</f>
        <v/>
      </c>
      <c r="O23" s="151"/>
    </row>
    <row r="24" spans="1:15" ht="15.95" customHeight="1">
      <c r="A24" s="477"/>
      <c r="B24" s="486" t="e">
        <f>AUX!S377</f>
        <v>#N/A</v>
      </c>
      <c r="C24" s="140" t="e">
        <f>AUX!U377</f>
        <v>#N/A</v>
      </c>
      <c r="D24" s="140" t="e">
        <f>AUX!V377</f>
        <v>#N/A</v>
      </c>
      <c r="E24" s="140" t="e">
        <f>AUX!W377</f>
        <v>#N/A</v>
      </c>
      <c r="F24" s="140" t="e">
        <f>AUX!X377</f>
        <v>#N/A</v>
      </c>
      <c r="G24" s="140" t="e">
        <f>AUX!Y377</f>
        <v>#N/A</v>
      </c>
      <c r="H24" s="140" t="e">
        <f>AUX!Z377</f>
        <v>#N/A</v>
      </c>
      <c r="I24" s="490" t="e">
        <f>AUX!AA377</f>
        <v>#N/A</v>
      </c>
      <c r="J24" s="140" t="e">
        <f>AUX!AB377</f>
        <v>#N/A</v>
      </c>
      <c r="K24" s="140" t="e">
        <f>AUX!AC377</f>
        <v>#N/A</v>
      </c>
      <c r="L24" s="140" t="str">
        <f>IF(AUX!$B$5=2,AUX!AD377,"")</f>
        <v/>
      </c>
      <c r="M24" s="140" t="str">
        <f>IF(AUX!$B$5=2,AUX!AE377,"")</f>
        <v/>
      </c>
      <c r="N24" s="140" t="str">
        <f>IF(AUX!$B$5=2,AUX!AF377,"")</f>
        <v/>
      </c>
      <c r="O24" s="151"/>
    </row>
    <row r="25" spans="1:15" ht="15.95" customHeight="1">
      <c r="A25" s="477"/>
      <c r="B25" s="456" t="e">
        <f>AUX!S378</f>
        <v>#N/A</v>
      </c>
      <c r="C25" s="138" t="e">
        <f>AUX!U378</f>
        <v>#N/A</v>
      </c>
      <c r="D25" s="138" t="e">
        <f>AUX!V378</f>
        <v>#N/A</v>
      </c>
      <c r="E25" s="138" t="e">
        <f>AUX!W378</f>
        <v>#N/A</v>
      </c>
      <c r="F25" s="138" t="e">
        <f>AUX!X378</f>
        <v>#N/A</v>
      </c>
      <c r="G25" s="138" t="e">
        <f>AUX!Y378</f>
        <v>#N/A</v>
      </c>
      <c r="H25" s="138" t="e">
        <f>AUX!Z378</f>
        <v>#N/A</v>
      </c>
      <c r="I25" s="489" t="e">
        <f>AUX!AA378</f>
        <v>#N/A</v>
      </c>
      <c r="J25" s="138" t="e">
        <f>AUX!AB378</f>
        <v>#N/A</v>
      </c>
      <c r="K25" s="138" t="e">
        <f>AUX!AC378</f>
        <v>#N/A</v>
      </c>
      <c r="L25" s="138" t="str">
        <f>IF(AUX!$B$5=2,AUX!AD378,"")</f>
        <v/>
      </c>
      <c r="M25" s="138" t="str">
        <f>IF(AUX!$B$5=2,AUX!AE378,"")</f>
        <v/>
      </c>
      <c r="N25" s="138" t="str">
        <f>IF(AUX!$B$5=2,AUX!AF378,"")</f>
        <v/>
      </c>
      <c r="O25" s="151"/>
    </row>
    <row r="26" spans="1:15" ht="15.95" customHeight="1">
      <c r="A26" s="477"/>
      <c r="B26" s="486" t="e">
        <f>AUX!S379</f>
        <v>#N/A</v>
      </c>
      <c r="C26" s="140" t="e">
        <f>AUX!U379</f>
        <v>#N/A</v>
      </c>
      <c r="D26" s="140" t="e">
        <f>AUX!V379</f>
        <v>#N/A</v>
      </c>
      <c r="E26" s="140" t="e">
        <f>AUX!W379</f>
        <v>#N/A</v>
      </c>
      <c r="F26" s="140" t="e">
        <f>AUX!X379</f>
        <v>#N/A</v>
      </c>
      <c r="G26" s="140" t="e">
        <f>AUX!Y379</f>
        <v>#N/A</v>
      </c>
      <c r="H26" s="140" t="e">
        <f>AUX!Z379</f>
        <v>#N/A</v>
      </c>
      <c r="I26" s="490" t="e">
        <f>AUX!AA379</f>
        <v>#N/A</v>
      </c>
      <c r="J26" s="140" t="e">
        <f>AUX!AB379</f>
        <v>#N/A</v>
      </c>
      <c r="K26" s="140" t="e">
        <f>AUX!AC379</f>
        <v>#N/A</v>
      </c>
      <c r="L26" s="140" t="str">
        <f>IF(AUX!$B$5=2,AUX!AD379,"")</f>
        <v/>
      </c>
      <c r="M26" s="140" t="str">
        <f>IF(AUX!$B$5=2,AUX!AE379,"")</f>
        <v/>
      </c>
      <c r="N26" s="140" t="str">
        <f>IF(AUX!$B$5=2,AUX!AF379,"")</f>
        <v/>
      </c>
      <c r="O26" s="151"/>
    </row>
    <row r="27" spans="1:15" ht="15.95" customHeight="1">
      <c r="A27" s="477"/>
      <c r="B27" s="456" t="e">
        <f>AUX!S380</f>
        <v>#N/A</v>
      </c>
      <c r="C27" s="138" t="e">
        <f>AUX!U380</f>
        <v>#N/A</v>
      </c>
      <c r="D27" s="138" t="e">
        <f>AUX!V380</f>
        <v>#N/A</v>
      </c>
      <c r="E27" s="138" t="e">
        <f>AUX!W380</f>
        <v>#N/A</v>
      </c>
      <c r="F27" s="138" t="e">
        <f>AUX!X380</f>
        <v>#N/A</v>
      </c>
      <c r="G27" s="138" t="e">
        <f>AUX!Y380</f>
        <v>#N/A</v>
      </c>
      <c r="H27" s="138" t="e">
        <f>AUX!Z380</f>
        <v>#N/A</v>
      </c>
      <c r="I27" s="489" t="e">
        <f>AUX!AA380</f>
        <v>#N/A</v>
      </c>
      <c r="J27" s="138" t="e">
        <f>AUX!AB380</f>
        <v>#N/A</v>
      </c>
      <c r="K27" s="138" t="e">
        <f>AUX!AC380</f>
        <v>#N/A</v>
      </c>
      <c r="L27" s="138" t="str">
        <f>IF(AUX!$B$5=2,AUX!AD380,"")</f>
        <v/>
      </c>
      <c r="M27" s="138" t="str">
        <f>IF(AUX!$B$5=2,AUX!AE380,"")</f>
        <v/>
      </c>
      <c r="N27" s="138" t="str">
        <f>IF(AUX!$B$5=2,AUX!AF380,"")</f>
        <v/>
      </c>
      <c r="O27" s="151"/>
    </row>
    <row r="28" spans="1:15" ht="15.95" customHeight="1">
      <c r="A28" s="477"/>
      <c r="B28" s="486" t="e">
        <f>AUX!S381</f>
        <v>#N/A</v>
      </c>
      <c r="C28" s="140" t="e">
        <f>AUX!U381</f>
        <v>#N/A</v>
      </c>
      <c r="D28" s="140" t="e">
        <f>AUX!V381</f>
        <v>#N/A</v>
      </c>
      <c r="E28" s="140" t="e">
        <f>AUX!W381</f>
        <v>#N/A</v>
      </c>
      <c r="F28" s="140" t="e">
        <f>AUX!X381</f>
        <v>#N/A</v>
      </c>
      <c r="G28" s="140" t="e">
        <f>AUX!Y381</f>
        <v>#N/A</v>
      </c>
      <c r="H28" s="140" t="e">
        <f>AUX!Z381</f>
        <v>#N/A</v>
      </c>
      <c r="I28" s="490" t="e">
        <f>AUX!AA381</f>
        <v>#N/A</v>
      </c>
      <c r="J28" s="140" t="e">
        <f>AUX!AB381</f>
        <v>#N/A</v>
      </c>
      <c r="K28" s="140" t="e">
        <f>AUX!AC381</f>
        <v>#N/A</v>
      </c>
      <c r="L28" s="140" t="str">
        <f>IF(AUX!$B$5=2,AUX!AD381,"")</f>
        <v/>
      </c>
      <c r="M28" s="140" t="str">
        <f>IF(AUX!$B$5=2,AUX!AE381,"")</f>
        <v/>
      </c>
      <c r="N28" s="140" t="str">
        <f>IF(AUX!$B$5=2,AUX!AF381,"")</f>
        <v/>
      </c>
      <c r="O28" s="151"/>
    </row>
    <row r="29" spans="1:15" ht="15.95" customHeight="1">
      <c r="A29" s="477"/>
      <c r="B29" s="456" t="e">
        <f>AUX!S382</f>
        <v>#N/A</v>
      </c>
      <c r="C29" s="138" t="e">
        <f>AUX!U382</f>
        <v>#N/A</v>
      </c>
      <c r="D29" s="138" t="e">
        <f>AUX!V382</f>
        <v>#N/A</v>
      </c>
      <c r="E29" s="138" t="e">
        <f>AUX!W382</f>
        <v>#N/A</v>
      </c>
      <c r="F29" s="138" t="e">
        <f>AUX!X382</f>
        <v>#N/A</v>
      </c>
      <c r="G29" s="138" t="e">
        <f>AUX!Y382</f>
        <v>#N/A</v>
      </c>
      <c r="H29" s="138" t="e">
        <f>AUX!Z382</f>
        <v>#N/A</v>
      </c>
      <c r="I29" s="489" t="e">
        <f>AUX!AA382</f>
        <v>#N/A</v>
      </c>
      <c r="J29" s="138" t="e">
        <f>AUX!AB382</f>
        <v>#N/A</v>
      </c>
      <c r="K29" s="138" t="e">
        <f>AUX!AC382</f>
        <v>#N/A</v>
      </c>
      <c r="L29" s="138" t="str">
        <f>IF(AUX!$B$5=2,AUX!AD382,"")</f>
        <v/>
      </c>
      <c r="M29" s="138" t="str">
        <f>IF(AUX!$B$5=2,AUX!AE382,"")</f>
        <v/>
      </c>
      <c r="N29" s="138" t="str">
        <f>IF(AUX!$B$5=2,AUX!AF382,"")</f>
        <v/>
      </c>
      <c r="O29" s="151"/>
    </row>
    <row r="30" spans="1:15" ht="15.95" customHeight="1">
      <c r="A30" s="477"/>
      <c r="B30" s="486" t="e">
        <f>AUX!S383</f>
        <v>#N/A</v>
      </c>
      <c r="C30" s="140" t="e">
        <f>AUX!U383</f>
        <v>#N/A</v>
      </c>
      <c r="D30" s="140" t="e">
        <f>AUX!V383</f>
        <v>#N/A</v>
      </c>
      <c r="E30" s="140" t="e">
        <f>AUX!W383</f>
        <v>#N/A</v>
      </c>
      <c r="F30" s="140" t="e">
        <f>AUX!X383</f>
        <v>#N/A</v>
      </c>
      <c r="G30" s="140" t="e">
        <f>AUX!Y383</f>
        <v>#N/A</v>
      </c>
      <c r="H30" s="140" t="e">
        <f>AUX!Z383</f>
        <v>#N/A</v>
      </c>
      <c r="I30" s="490" t="e">
        <f>AUX!AA383</f>
        <v>#N/A</v>
      </c>
      <c r="J30" s="140" t="e">
        <f>AUX!AB383</f>
        <v>#N/A</v>
      </c>
      <c r="K30" s="140" t="e">
        <f>AUX!AC383</f>
        <v>#N/A</v>
      </c>
      <c r="L30" s="140" t="str">
        <f>IF(AUX!$B$5=2,AUX!AD383,"")</f>
        <v/>
      </c>
      <c r="M30" s="140" t="str">
        <f>IF(AUX!$B$5=2,AUX!AE383,"")</f>
        <v/>
      </c>
      <c r="N30" s="140" t="str">
        <f>IF(AUX!$B$5=2,AUX!AF383,"")</f>
        <v/>
      </c>
      <c r="O30" s="151"/>
    </row>
    <row r="31" spans="1:15" ht="15.95" customHeight="1">
      <c r="A31" s="477"/>
      <c r="B31" s="456" t="e">
        <f>AUX!S384</f>
        <v>#N/A</v>
      </c>
      <c r="C31" s="138" t="e">
        <f>AUX!U384</f>
        <v>#N/A</v>
      </c>
      <c r="D31" s="138" t="e">
        <f>AUX!V384</f>
        <v>#N/A</v>
      </c>
      <c r="E31" s="138" t="e">
        <f>AUX!W384</f>
        <v>#N/A</v>
      </c>
      <c r="F31" s="138" t="e">
        <f>AUX!X384</f>
        <v>#N/A</v>
      </c>
      <c r="G31" s="138" t="e">
        <f>AUX!Y384</f>
        <v>#N/A</v>
      </c>
      <c r="H31" s="138" t="e">
        <f>AUX!Z384</f>
        <v>#N/A</v>
      </c>
      <c r="I31" s="489" t="e">
        <f>AUX!AA384</f>
        <v>#N/A</v>
      </c>
      <c r="J31" s="138" t="e">
        <f>AUX!AB384</f>
        <v>#N/A</v>
      </c>
      <c r="K31" s="138" t="e">
        <f>AUX!AC384</f>
        <v>#N/A</v>
      </c>
      <c r="L31" s="138" t="str">
        <f>IF(AUX!$B$5=2,AUX!AD384,"")</f>
        <v/>
      </c>
      <c r="M31" s="138" t="str">
        <f>IF(AUX!$B$5=2,AUX!AE384,"")</f>
        <v/>
      </c>
      <c r="N31" s="138" t="str">
        <f>IF(AUX!$B$5=2,AUX!AF384,"")</f>
        <v/>
      </c>
      <c r="O31" s="151"/>
    </row>
    <row r="32" spans="1:15" ht="15.95" customHeight="1">
      <c r="A32" s="477"/>
      <c r="B32" s="486" t="e">
        <f>AUX!S385</f>
        <v>#N/A</v>
      </c>
      <c r="C32" s="140" t="e">
        <f>AUX!U385</f>
        <v>#N/A</v>
      </c>
      <c r="D32" s="140" t="e">
        <f>AUX!V385</f>
        <v>#N/A</v>
      </c>
      <c r="E32" s="140" t="e">
        <f>AUX!W385</f>
        <v>#N/A</v>
      </c>
      <c r="F32" s="140" t="e">
        <f>AUX!X385</f>
        <v>#N/A</v>
      </c>
      <c r="G32" s="140" t="e">
        <f>AUX!Y385</f>
        <v>#N/A</v>
      </c>
      <c r="H32" s="140" t="e">
        <f>AUX!Z385</f>
        <v>#N/A</v>
      </c>
      <c r="I32" s="490" t="e">
        <f>AUX!AA385</f>
        <v>#N/A</v>
      </c>
      <c r="J32" s="140" t="e">
        <f>AUX!AB385</f>
        <v>#N/A</v>
      </c>
      <c r="K32" s="140" t="e">
        <f>AUX!AC385</f>
        <v>#N/A</v>
      </c>
      <c r="L32" s="140" t="str">
        <f>IF(AUX!$B$5=2,AUX!AD385,"")</f>
        <v/>
      </c>
      <c r="M32" s="140" t="str">
        <f>IF(AUX!$B$5=2,AUX!AE385,"")</f>
        <v/>
      </c>
      <c r="N32" s="140" t="str">
        <f>IF(AUX!$B$5=2,AUX!AF385,"")</f>
        <v/>
      </c>
      <c r="O32" s="151"/>
    </row>
    <row r="33" spans="1:15" ht="15.95" customHeight="1">
      <c r="A33" s="477"/>
      <c r="B33" s="456" t="e">
        <f>AUX!S386</f>
        <v>#N/A</v>
      </c>
      <c r="C33" s="138" t="e">
        <f>AUX!U386</f>
        <v>#N/A</v>
      </c>
      <c r="D33" s="138" t="e">
        <f>AUX!V386</f>
        <v>#N/A</v>
      </c>
      <c r="E33" s="138" t="e">
        <f>AUX!W386</f>
        <v>#N/A</v>
      </c>
      <c r="F33" s="138" t="e">
        <f>AUX!X386</f>
        <v>#N/A</v>
      </c>
      <c r="G33" s="138" t="e">
        <f>AUX!Y386</f>
        <v>#N/A</v>
      </c>
      <c r="H33" s="138" t="e">
        <f>AUX!Z386</f>
        <v>#N/A</v>
      </c>
      <c r="I33" s="489" t="e">
        <f>AUX!AA386</f>
        <v>#N/A</v>
      </c>
      <c r="J33" s="138" t="e">
        <f>AUX!AB386</f>
        <v>#N/A</v>
      </c>
      <c r="K33" s="138" t="e">
        <f>AUX!AC386</f>
        <v>#N/A</v>
      </c>
      <c r="L33" s="138" t="str">
        <f>IF(AUX!$B$5=2,AUX!AD386,"")</f>
        <v/>
      </c>
      <c r="M33" s="138" t="str">
        <f>IF(AUX!$B$5=2,AUX!AE386,"")</f>
        <v/>
      </c>
      <c r="N33" s="138" t="str">
        <f>IF(AUX!$B$5=2,AUX!AF386,"")</f>
        <v/>
      </c>
      <c r="O33" s="151"/>
    </row>
    <row r="34" spans="1:15" ht="15.95" customHeight="1">
      <c r="A34" s="477"/>
      <c r="B34" s="486" t="e">
        <f>AUX!S387</f>
        <v>#N/A</v>
      </c>
      <c r="C34" s="140" t="e">
        <f>AUX!U387</f>
        <v>#N/A</v>
      </c>
      <c r="D34" s="140" t="e">
        <f>AUX!V387</f>
        <v>#N/A</v>
      </c>
      <c r="E34" s="140" t="e">
        <f>AUX!W387</f>
        <v>#N/A</v>
      </c>
      <c r="F34" s="140" t="e">
        <f>AUX!X387</f>
        <v>#N/A</v>
      </c>
      <c r="G34" s="140" t="e">
        <f>AUX!Y387</f>
        <v>#N/A</v>
      </c>
      <c r="H34" s="140" t="e">
        <f>AUX!Z387</f>
        <v>#N/A</v>
      </c>
      <c r="I34" s="490" t="e">
        <f>AUX!AA387</f>
        <v>#N/A</v>
      </c>
      <c r="J34" s="140" t="e">
        <f>AUX!AB387</f>
        <v>#N/A</v>
      </c>
      <c r="K34" s="140" t="e">
        <f>AUX!AC387</f>
        <v>#N/A</v>
      </c>
      <c r="L34" s="140" t="str">
        <f>IF(AUX!$B$5=2,AUX!AD387,"")</f>
        <v/>
      </c>
      <c r="M34" s="140" t="str">
        <f>IF(AUX!$B$5=2,AUX!AE387,"")</f>
        <v/>
      </c>
      <c r="N34" s="140" t="str">
        <f>IF(AUX!$B$5=2,AUX!AF387,"")</f>
        <v/>
      </c>
      <c r="O34" s="151"/>
    </row>
    <row r="35" spans="1:15" ht="15.95" customHeight="1">
      <c r="A35" s="477"/>
      <c r="B35" s="456" t="e">
        <f>AUX!S388</f>
        <v>#N/A</v>
      </c>
      <c r="C35" s="138" t="e">
        <f>AUX!U388</f>
        <v>#N/A</v>
      </c>
      <c r="D35" s="138" t="e">
        <f>AUX!V388</f>
        <v>#N/A</v>
      </c>
      <c r="E35" s="138" t="e">
        <f>AUX!W388</f>
        <v>#N/A</v>
      </c>
      <c r="F35" s="138" t="e">
        <f>AUX!X388</f>
        <v>#N/A</v>
      </c>
      <c r="G35" s="138" t="e">
        <f>AUX!Y388</f>
        <v>#N/A</v>
      </c>
      <c r="H35" s="138" t="e">
        <f>AUX!Z388</f>
        <v>#N/A</v>
      </c>
      <c r="I35" s="489" t="e">
        <f>AUX!AA388</f>
        <v>#N/A</v>
      </c>
      <c r="J35" s="138" t="e">
        <f>AUX!AB388</f>
        <v>#N/A</v>
      </c>
      <c r="K35" s="138" t="e">
        <f>AUX!AC388</f>
        <v>#N/A</v>
      </c>
      <c r="L35" s="138" t="str">
        <f>IF(AUX!$B$5=2,AUX!AD388,"")</f>
        <v/>
      </c>
      <c r="M35" s="138" t="str">
        <f>IF(AUX!$B$5=2,AUX!AE388,"")</f>
        <v/>
      </c>
      <c r="N35" s="138" t="str">
        <f>IF(AUX!$B$5=2,AUX!AF388,"")</f>
        <v/>
      </c>
      <c r="O35" s="151"/>
    </row>
    <row r="36" spans="1:15" ht="15.95" customHeight="1">
      <c r="A36" s="477"/>
      <c r="B36" s="486" t="e">
        <f>AUX!S389</f>
        <v>#N/A</v>
      </c>
      <c r="C36" s="140" t="e">
        <f>AUX!U389</f>
        <v>#N/A</v>
      </c>
      <c r="D36" s="140" t="e">
        <f>AUX!V389</f>
        <v>#N/A</v>
      </c>
      <c r="E36" s="140" t="e">
        <f>AUX!W389</f>
        <v>#N/A</v>
      </c>
      <c r="F36" s="140" t="e">
        <f>AUX!X389</f>
        <v>#N/A</v>
      </c>
      <c r="G36" s="140" t="e">
        <f>AUX!Y389</f>
        <v>#N/A</v>
      </c>
      <c r="H36" s="140" t="e">
        <f>AUX!Z389</f>
        <v>#N/A</v>
      </c>
      <c r="I36" s="490" t="e">
        <f>AUX!AA389</f>
        <v>#N/A</v>
      </c>
      <c r="J36" s="140" t="e">
        <f>AUX!AB389</f>
        <v>#N/A</v>
      </c>
      <c r="K36" s="140" t="e">
        <f>AUX!AC389</f>
        <v>#N/A</v>
      </c>
      <c r="L36" s="140" t="str">
        <f>IF(AUX!$B$5=2,AUX!AD389,"")</f>
        <v/>
      </c>
      <c r="M36" s="140" t="str">
        <f>IF(AUX!$B$5=2,AUX!AE389,"")</f>
        <v/>
      </c>
      <c r="N36" s="140" t="str">
        <f>IF(AUX!$B$5=2,AUX!AF389,"")</f>
        <v/>
      </c>
      <c r="O36" s="151"/>
    </row>
    <row r="37" spans="1:15" ht="15.95" customHeight="1">
      <c r="A37" s="477"/>
      <c r="B37" s="456" t="e">
        <f>AUX!S390</f>
        <v>#N/A</v>
      </c>
      <c r="C37" s="138" t="e">
        <f>AUX!U390</f>
        <v>#N/A</v>
      </c>
      <c r="D37" s="138" t="e">
        <f>AUX!V390</f>
        <v>#N/A</v>
      </c>
      <c r="E37" s="138" t="e">
        <f>AUX!W390</f>
        <v>#N/A</v>
      </c>
      <c r="F37" s="138" t="e">
        <f>AUX!X390</f>
        <v>#N/A</v>
      </c>
      <c r="G37" s="138" t="e">
        <f>AUX!Y390</f>
        <v>#N/A</v>
      </c>
      <c r="H37" s="138" t="e">
        <f>AUX!Z390</f>
        <v>#N/A</v>
      </c>
      <c r="I37" s="489" t="e">
        <f>AUX!AA390</f>
        <v>#N/A</v>
      </c>
      <c r="J37" s="138" t="e">
        <f>AUX!AB390</f>
        <v>#N/A</v>
      </c>
      <c r="K37" s="138" t="e">
        <f>AUX!AC390</f>
        <v>#N/A</v>
      </c>
      <c r="L37" s="138" t="str">
        <f>IF(AUX!$B$5=2,AUX!AD390,"")</f>
        <v/>
      </c>
      <c r="M37" s="138" t="str">
        <f>IF(AUX!$B$5=2,AUX!AE390,"")</f>
        <v/>
      </c>
      <c r="N37" s="138" t="str">
        <f>IF(AUX!$B$5=2,AUX!AF390,"")</f>
        <v/>
      </c>
      <c r="O37" s="151"/>
    </row>
    <row r="38" spans="1:15" ht="15.95" customHeight="1">
      <c r="A38" s="477"/>
      <c r="B38" s="486" t="e">
        <f>AUX!S391</f>
        <v>#N/A</v>
      </c>
      <c r="C38" s="140" t="e">
        <f>AUX!U391</f>
        <v>#N/A</v>
      </c>
      <c r="D38" s="140" t="e">
        <f>AUX!V391</f>
        <v>#N/A</v>
      </c>
      <c r="E38" s="140" t="e">
        <f>AUX!W391</f>
        <v>#N/A</v>
      </c>
      <c r="F38" s="140" t="e">
        <f>AUX!X391</f>
        <v>#N/A</v>
      </c>
      <c r="G38" s="140" t="e">
        <f>AUX!Y391</f>
        <v>#N/A</v>
      </c>
      <c r="H38" s="140" t="e">
        <f>AUX!Z391</f>
        <v>#N/A</v>
      </c>
      <c r="I38" s="490" t="e">
        <f>AUX!AA391</f>
        <v>#N/A</v>
      </c>
      <c r="J38" s="140" t="e">
        <f>AUX!AB391</f>
        <v>#N/A</v>
      </c>
      <c r="K38" s="140" t="e">
        <f>AUX!AC391</f>
        <v>#N/A</v>
      </c>
      <c r="L38" s="140" t="str">
        <f>IF(AUX!$B$5=2,AUX!AD391,"")</f>
        <v/>
      </c>
      <c r="M38" s="140" t="str">
        <f>IF(AUX!$B$5=2,AUX!AE391,"")</f>
        <v/>
      </c>
      <c r="N38" s="140" t="str">
        <f>IF(AUX!$B$5=2,AUX!AF391,"")</f>
        <v/>
      </c>
      <c r="O38" s="151"/>
    </row>
    <row r="39" spans="1:15" ht="15.95" customHeight="1">
      <c r="A39" s="477"/>
      <c r="B39" s="456" t="e">
        <f>AUX!S392</f>
        <v>#N/A</v>
      </c>
      <c r="C39" s="138" t="e">
        <f>AUX!U392</f>
        <v>#N/A</v>
      </c>
      <c r="D39" s="138" t="e">
        <f>AUX!V392</f>
        <v>#N/A</v>
      </c>
      <c r="E39" s="138" t="e">
        <f>AUX!W392</f>
        <v>#N/A</v>
      </c>
      <c r="F39" s="138" t="e">
        <f>AUX!X392</f>
        <v>#N/A</v>
      </c>
      <c r="G39" s="138" t="e">
        <f>AUX!Y392</f>
        <v>#N/A</v>
      </c>
      <c r="H39" s="138" t="e">
        <f>AUX!Z392</f>
        <v>#N/A</v>
      </c>
      <c r="I39" s="489" t="e">
        <f>AUX!AA392</f>
        <v>#N/A</v>
      </c>
      <c r="J39" s="138" t="e">
        <f>AUX!AB392</f>
        <v>#N/A</v>
      </c>
      <c r="K39" s="138" t="e">
        <f>AUX!AC392</f>
        <v>#N/A</v>
      </c>
      <c r="L39" s="138" t="str">
        <f>IF(AUX!$B$5=2,AUX!AD392,"")</f>
        <v/>
      </c>
      <c r="M39" s="138" t="str">
        <f>IF(AUX!$B$5=2,AUX!AE392,"")</f>
        <v/>
      </c>
      <c r="N39" s="138" t="str">
        <f>IF(AUX!$B$5=2,AUX!AF392,"")</f>
        <v/>
      </c>
      <c r="O39" s="151"/>
    </row>
    <row r="40" spans="1:15" ht="15.95" customHeight="1">
      <c r="A40" s="477"/>
      <c r="B40" s="486" t="e">
        <f>AUX!S393</f>
        <v>#N/A</v>
      </c>
      <c r="C40" s="140" t="e">
        <f>AUX!U393</f>
        <v>#N/A</v>
      </c>
      <c r="D40" s="140" t="e">
        <f>AUX!V393</f>
        <v>#N/A</v>
      </c>
      <c r="E40" s="140" t="e">
        <f>AUX!W393</f>
        <v>#N/A</v>
      </c>
      <c r="F40" s="140" t="e">
        <f>AUX!X393</f>
        <v>#N/A</v>
      </c>
      <c r="G40" s="140" t="e">
        <f>AUX!Y393</f>
        <v>#N/A</v>
      </c>
      <c r="H40" s="140" t="e">
        <f>AUX!Z393</f>
        <v>#N/A</v>
      </c>
      <c r="I40" s="490" t="e">
        <f>AUX!AA393</f>
        <v>#N/A</v>
      </c>
      <c r="J40" s="140" t="e">
        <f>AUX!AB393</f>
        <v>#N/A</v>
      </c>
      <c r="K40" s="140" t="e">
        <f>AUX!AC393</f>
        <v>#N/A</v>
      </c>
      <c r="L40" s="140" t="str">
        <f>IF(AUX!$B$5=2,AUX!AD393,"")</f>
        <v/>
      </c>
      <c r="M40" s="140" t="str">
        <f>IF(AUX!$B$5=2,AUX!AE393,"")</f>
        <v/>
      </c>
      <c r="N40" s="140" t="str">
        <f>IF(AUX!$B$5=2,AUX!AF393,"")</f>
        <v/>
      </c>
      <c r="O40" s="151"/>
    </row>
    <row r="41" spans="1:15" ht="15.95" customHeight="1">
      <c r="A41" s="477"/>
      <c r="B41" s="456" t="e">
        <f>AUX!S394</f>
        <v>#N/A</v>
      </c>
      <c r="C41" s="138" t="e">
        <f>AUX!U394</f>
        <v>#N/A</v>
      </c>
      <c r="D41" s="138" t="e">
        <f>AUX!V394</f>
        <v>#N/A</v>
      </c>
      <c r="E41" s="138" t="e">
        <f>AUX!W394</f>
        <v>#N/A</v>
      </c>
      <c r="F41" s="138" t="e">
        <f>AUX!X394</f>
        <v>#N/A</v>
      </c>
      <c r="G41" s="138" t="e">
        <f>AUX!Y394</f>
        <v>#N/A</v>
      </c>
      <c r="H41" s="138" t="e">
        <f>AUX!Z394</f>
        <v>#N/A</v>
      </c>
      <c r="I41" s="489" t="e">
        <f>AUX!AA394</f>
        <v>#N/A</v>
      </c>
      <c r="J41" s="138" t="e">
        <f>AUX!AB394</f>
        <v>#N/A</v>
      </c>
      <c r="K41" s="138" t="e">
        <f>AUX!AC394</f>
        <v>#N/A</v>
      </c>
      <c r="L41" s="138" t="str">
        <f>IF(AUX!$B$5=2,AUX!AD394,"")</f>
        <v/>
      </c>
      <c r="M41" s="138" t="str">
        <f>IF(AUX!$B$5=2,AUX!AE394,"")</f>
        <v/>
      </c>
      <c r="N41" s="138" t="str">
        <f>IF(AUX!$B$5=2,AUX!AF394,"")</f>
        <v/>
      </c>
      <c r="O41" s="151"/>
    </row>
    <row r="42" spans="1:15" ht="15.95" customHeight="1">
      <c r="A42" s="477"/>
      <c r="B42" s="486" t="e">
        <f>AUX!S395</f>
        <v>#N/A</v>
      </c>
      <c r="C42" s="140" t="e">
        <f>AUX!U395</f>
        <v>#N/A</v>
      </c>
      <c r="D42" s="140" t="e">
        <f>AUX!V395</f>
        <v>#N/A</v>
      </c>
      <c r="E42" s="140" t="e">
        <f>AUX!W395</f>
        <v>#N/A</v>
      </c>
      <c r="F42" s="140" t="e">
        <f>AUX!X395</f>
        <v>#N/A</v>
      </c>
      <c r="G42" s="140" t="e">
        <f>AUX!Y395</f>
        <v>#N/A</v>
      </c>
      <c r="H42" s="140" t="e">
        <f>AUX!Z395</f>
        <v>#N/A</v>
      </c>
      <c r="I42" s="490" t="e">
        <f>AUX!AA395</f>
        <v>#N/A</v>
      </c>
      <c r="J42" s="140" t="e">
        <f>AUX!AB395</f>
        <v>#N/A</v>
      </c>
      <c r="K42" s="140" t="e">
        <f>AUX!AC395</f>
        <v>#N/A</v>
      </c>
      <c r="L42" s="140" t="str">
        <f>IF(AUX!$B$5=2,AUX!AD395,"")</f>
        <v/>
      </c>
      <c r="M42" s="140" t="str">
        <f>IF(AUX!$B$5=2,AUX!AE395,"")</f>
        <v/>
      </c>
      <c r="N42" s="140" t="str">
        <f>IF(AUX!$B$5=2,AUX!AF395,"")</f>
        <v/>
      </c>
      <c r="O42" s="151"/>
    </row>
    <row r="43" spans="1:15" ht="15.95" customHeight="1">
      <c r="A43" s="477"/>
      <c r="B43" s="456" t="e">
        <f>AUX!S396</f>
        <v>#N/A</v>
      </c>
      <c r="C43" s="138" t="e">
        <f>AUX!U396</f>
        <v>#N/A</v>
      </c>
      <c r="D43" s="138" t="e">
        <f>AUX!V396</f>
        <v>#N/A</v>
      </c>
      <c r="E43" s="138" t="e">
        <f>AUX!W396</f>
        <v>#N/A</v>
      </c>
      <c r="F43" s="138" t="e">
        <f>AUX!X396</f>
        <v>#N/A</v>
      </c>
      <c r="G43" s="138" t="e">
        <f>AUX!Y396</f>
        <v>#N/A</v>
      </c>
      <c r="H43" s="138" t="e">
        <f>AUX!Z396</f>
        <v>#N/A</v>
      </c>
      <c r="I43" s="489" t="e">
        <f>AUX!AA396</f>
        <v>#N/A</v>
      </c>
      <c r="J43" s="138" t="e">
        <f>AUX!AB396</f>
        <v>#N/A</v>
      </c>
      <c r="K43" s="138" t="e">
        <f>AUX!AC396</f>
        <v>#N/A</v>
      </c>
      <c r="L43" s="138" t="str">
        <f>IF(AUX!$B$5=2,AUX!AD396,"")</f>
        <v/>
      </c>
      <c r="M43" s="138" t="str">
        <f>IF(AUX!$B$5=2,AUX!AE396,"")</f>
        <v/>
      </c>
      <c r="N43" s="138" t="str">
        <f>IF(AUX!$B$5=2,AUX!AF396,"")</f>
        <v/>
      </c>
      <c r="O43" s="151"/>
    </row>
    <row r="44" spans="1:15" ht="15.95" customHeight="1">
      <c r="A44" s="477"/>
      <c r="B44" s="487" t="e">
        <f>AUX!S397</f>
        <v>#N/A</v>
      </c>
      <c r="C44" s="142" t="e">
        <f>AUX!U397</f>
        <v>#N/A</v>
      </c>
      <c r="D44" s="142" t="e">
        <f>AUX!V397</f>
        <v>#N/A</v>
      </c>
      <c r="E44" s="142" t="e">
        <f>AUX!W397</f>
        <v>#N/A</v>
      </c>
      <c r="F44" s="142" t="e">
        <f>AUX!X397</f>
        <v>#N/A</v>
      </c>
      <c r="G44" s="142" t="e">
        <f>AUX!Y397</f>
        <v>#N/A</v>
      </c>
      <c r="H44" s="142" t="e">
        <f>AUX!Z397</f>
        <v>#N/A</v>
      </c>
      <c r="I44" s="491" t="e">
        <f>AUX!AA397</f>
        <v>#N/A</v>
      </c>
      <c r="J44" s="142" t="e">
        <f>AUX!AB397</f>
        <v>#N/A</v>
      </c>
      <c r="K44" s="142" t="e">
        <f>AUX!AC397</f>
        <v>#N/A</v>
      </c>
      <c r="L44" s="142" t="str">
        <f>IF(AUX!$B$5=2,AUX!AD397,"")</f>
        <v/>
      </c>
      <c r="M44" s="142" t="str">
        <f>IF(AUX!$B$5=2,AUX!AE397,"")</f>
        <v/>
      </c>
      <c r="N44" s="142" t="str">
        <f>IF(AUX!$B$5=2,AUX!AF397,"")</f>
        <v/>
      </c>
      <c r="O44" s="151"/>
    </row>
    <row r="45" spans="1:15" ht="14.1" customHeight="1">
      <c r="A45" s="477"/>
      <c r="B45" s="666" t="s">
        <v>51</v>
      </c>
      <c r="C45" s="666"/>
      <c r="D45" s="666"/>
      <c r="E45" s="666"/>
      <c r="F45" s="480"/>
      <c r="G45" s="26"/>
      <c r="H45" s="26"/>
      <c r="I45" s="651" t="str">
        <f>IF(AUX!B5=1,"Fonte: Observatórios Regionais de Saúde (dados: SIARS)","")</f>
        <v/>
      </c>
      <c r="J45" s="651"/>
      <c r="K45" s="651"/>
      <c r="L45" s="651" t="str">
        <f>IF(AUX!B5=2,"Fonte: Observatórios Regionais de Saúde (dados: SIARS)","")</f>
        <v/>
      </c>
      <c r="M45" s="651"/>
      <c r="N45" s="651"/>
      <c r="O45" s="151"/>
    </row>
    <row r="46" spans="1:15" ht="15" customHeight="1">
      <c r="A46" s="477"/>
      <c r="B46" s="666" t="s">
        <v>551</v>
      </c>
      <c r="C46" s="666"/>
      <c r="D46" s="666"/>
      <c r="E46" s="666"/>
      <c r="F46" s="28"/>
      <c r="G46" s="28"/>
      <c r="H46" s="28"/>
      <c r="I46" s="28"/>
      <c r="J46" s="28"/>
      <c r="K46" s="28"/>
      <c r="L46" s="28"/>
      <c r="M46" s="28"/>
      <c r="N46" s="28"/>
      <c r="O46" s="477"/>
    </row>
    <row r="47" spans="1:15" ht="26.1" customHeight="1">
      <c r="A47" s="477"/>
      <c r="B47" s="782" t="str">
        <f>"PROPORÇÃO DE INSCRITOS (%) POR DIAGNÓSTICO ATIVO " &amp; AUX!C6 &amp; ", POR SEXO, DEZEMBRO 2013 (ORDEM DECRESCENTE)"</f>
        <v>PROPORÇÃO DE INSCRITOS (%) POR DIAGNÓSTICO ATIVO NO , POR SEXO, DEZEMBRO 2013 (ORDEM DECRESCENTE)</v>
      </c>
      <c r="C47" s="782"/>
      <c r="D47" s="782"/>
      <c r="E47" s="782"/>
      <c r="F47" s="782"/>
      <c r="G47" s="782"/>
      <c r="H47" s="782"/>
      <c r="I47" s="782"/>
      <c r="J47" s="782"/>
      <c r="K47" s="782"/>
      <c r="L47" s="782"/>
      <c r="M47" s="28"/>
      <c r="N47" s="28"/>
      <c r="O47" s="477"/>
    </row>
    <row r="48" spans="1:15" ht="5.0999999999999996" customHeight="1">
      <c r="A48" s="477"/>
      <c r="B48" s="27"/>
      <c r="C48" s="27"/>
      <c r="D48" s="27"/>
      <c r="E48" s="27"/>
      <c r="F48" s="28"/>
      <c r="G48" s="28"/>
      <c r="H48" s="28"/>
      <c r="I48" s="28"/>
      <c r="J48" s="28"/>
      <c r="K48" s="28"/>
      <c r="L48" s="28"/>
      <c r="M48" s="28"/>
      <c r="N48" s="28"/>
      <c r="O48" s="477"/>
    </row>
    <row r="49" spans="1:15" ht="14.1" customHeight="1">
      <c r="A49" s="477"/>
      <c r="B49" s="493" t="s">
        <v>62</v>
      </c>
      <c r="C49" s="27"/>
      <c r="D49" s="27"/>
      <c r="E49" s="27"/>
      <c r="G49" s="492"/>
      <c r="H49" s="830" t="s">
        <v>63</v>
      </c>
      <c r="I49" s="830"/>
      <c r="J49" s="830"/>
      <c r="K49" s="830"/>
      <c r="L49" s="830"/>
      <c r="M49" s="496"/>
      <c r="N49" s="28"/>
      <c r="O49" s="477"/>
    </row>
    <row r="50" spans="1:15" ht="14.1" customHeight="1">
      <c r="A50" s="477"/>
      <c r="B50" s="465"/>
      <c r="C50" s="826" t="str">
        <f>AUX!S376</f>
        <v>Neoplasia maligna do estômago (D74)</v>
      </c>
      <c r="D50" s="827"/>
      <c r="E50" s="827"/>
      <c r="F50" s="827"/>
      <c r="G50" s="828"/>
      <c r="H50" s="823"/>
      <c r="I50" s="824"/>
      <c r="J50" s="824"/>
      <c r="K50" s="824"/>
      <c r="L50" s="825"/>
      <c r="M50" s="26"/>
      <c r="N50" s="28"/>
      <c r="O50" s="477"/>
    </row>
    <row r="51" spans="1:15" ht="14.1" customHeight="1">
      <c r="A51" s="477"/>
      <c r="B51" s="466"/>
      <c r="C51" s="808" t="e">
        <f>AUX!S377</f>
        <v>#N/A</v>
      </c>
      <c r="D51" s="809"/>
      <c r="E51" s="809"/>
      <c r="F51" s="809"/>
      <c r="G51" s="810"/>
      <c r="H51" s="811"/>
      <c r="I51" s="662"/>
      <c r="J51" s="662"/>
      <c r="K51" s="662"/>
      <c r="L51" s="812"/>
      <c r="M51" s="26"/>
      <c r="N51" s="28"/>
      <c r="O51" s="477"/>
    </row>
    <row r="52" spans="1:15" ht="14.1" customHeight="1">
      <c r="A52" s="477"/>
      <c r="B52" s="466"/>
      <c r="C52" s="808" t="e">
        <f>AUX!S378</f>
        <v>#N/A</v>
      </c>
      <c r="D52" s="809"/>
      <c r="E52" s="809"/>
      <c r="F52" s="809"/>
      <c r="G52" s="810"/>
      <c r="H52" s="811"/>
      <c r="I52" s="662"/>
      <c r="J52" s="662"/>
      <c r="K52" s="662"/>
      <c r="L52" s="812"/>
      <c r="M52" s="26"/>
      <c r="N52" s="28"/>
      <c r="O52" s="477"/>
    </row>
    <row r="53" spans="1:15" ht="14.1" customHeight="1">
      <c r="A53" s="477"/>
      <c r="B53" s="466"/>
      <c r="C53" s="808" t="e">
        <f>AUX!S379</f>
        <v>#N/A</v>
      </c>
      <c r="D53" s="809"/>
      <c r="E53" s="809"/>
      <c r="F53" s="809"/>
      <c r="G53" s="810"/>
      <c r="H53" s="811"/>
      <c r="I53" s="662"/>
      <c r="J53" s="662"/>
      <c r="K53" s="662"/>
      <c r="L53" s="812"/>
      <c r="M53" s="494"/>
      <c r="N53" s="28"/>
      <c r="O53" s="477"/>
    </row>
    <row r="54" spans="1:15" ht="14.1" customHeight="1">
      <c r="A54" s="477"/>
      <c r="B54" s="466"/>
      <c r="C54" s="808" t="e">
        <f>AUX!S380</f>
        <v>#N/A</v>
      </c>
      <c r="D54" s="809"/>
      <c r="E54" s="809"/>
      <c r="F54" s="809"/>
      <c r="G54" s="810"/>
      <c r="H54" s="811"/>
      <c r="I54" s="662"/>
      <c r="J54" s="662"/>
      <c r="K54" s="662"/>
      <c r="L54" s="812"/>
      <c r="M54" s="26"/>
      <c r="N54" s="28"/>
      <c r="O54" s="477"/>
    </row>
    <row r="55" spans="1:15" ht="14.1" customHeight="1">
      <c r="A55" s="477"/>
      <c r="B55" s="466"/>
      <c r="C55" s="808" t="e">
        <f>AUX!S381</f>
        <v>#N/A</v>
      </c>
      <c r="D55" s="809"/>
      <c r="E55" s="809"/>
      <c r="F55" s="809"/>
      <c r="G55" s="810"/>
      <c r="H55" s="811"/>
      <c r="I55" s="662"/>
      <c r="J55" s="662"/>
      <c r="K55" s="662"/>
      <c r="L55" s="812"/>
      <c r="M55" s="26"/>
      <c r="N55" s="28"/>
      <c r="O55" s="477"/>
    </row>
    <row r="56" spans="1:15" ht="14.1" customHeight="1">
      <c r="A56" s="477"/>
      <c r="B56" s="466"/>
      <c r="C56" s="808" t="e">
        <f>AUX!S382</f>
        <v>#N/A</v>
      </c>
      <c r="D56" s="809"/>
      <c r="E56" s="809"/>
      <c r="F56" s="809"/>
      <c r="G56" s="810"/>
      <c r="H56" s="811"/>
      <c r="I56" s="662"/>
      <c r="J56" s="662"/>
      <c r="K56" s="662"/>
      <c r="L56" s="812"/>
      <c r="M56" s="26"/>
      <c r="N56" s="28"/>
      <c r="O56" s="477"/>
    </row>
    <row r="57" spans="1:15" ht="14.1" customHeight="1">
      <c r="A57" s="477"/>
      <c r="B57" s="466"/>
      <c r="C57" s="808" t="e">
        <f>AUX!S383</f>
        <v>#N/A</v>
      </c>
      <c r="D57" s="809"/>
      <c r="E57" s="809"/>
      <c r="F57" s="809"/>
      <c r="G57" s="810"/>
      <c r="H57" s="811"/>
      <c r="I57" s="662"/>
      <c r="J57" s="662"/>
      <c r="K57" s="662"/>
      <c r="L57" s="812"/>
      <c r="M57" s="26"/>
      <c r="N57" s="28"/>
      <c r="O57" s="477"/>
    </row>
    <row r="58" spans="1:15" ht="14.1" customHeight="1">
      <c r="A58" s="477"/>
      <c r="B58" s="466"/>
      <c r="C58" s="808" t="e">
        <f>AUX!S384</f>
        <v>#N/A</v>
      </c>
      <c r="D58" s="809"/>
      <c r="E58" s="809"/>
      <c r="F58" s="809"/>
      <c r="G58" s="810"/>
      <c r="H58" s="811"/>
      <c r="I58" s="662"/>
      <c r="J58" s="662"/>
      <c r="K58" s="662"/>
      <c r="L58" s="812"/>
      <c r="M58" s="26"/>
      <c r="N58" s="28"/>
      <c r="O58" s="477"/>
    </row>
    <row r="59" spans="1:15" ht="14.1" customHeight="1">
      <c r="A59" s="477"/>
      <c r="B59" s="466"/>
      <c r="C59" s="808" t="e">
        <f>AUX!S385</f>
        <v>#N/A</v>
      </c>
      <c r="D59" s="809"/>
      <c r="E59" s="809"/>
      <c r="F59" s="809"/>
      <c r="G59" s="810"/>
      <c r="H59" s="811"/>
      <c r="I59" s="662"/>
      <c r="J59" s="662"/>
      <c r="K59" s="662"/>
      <c r="L59" s="812"/>
      <c r="M59" s="26"/>
      <c r="N59" s="28"/>
      <c r="O59" s="477"/>
    </row>
    <row r="60" spans="1:15" ht="14.1" customHeight="1">
      <c r="A60" s="477"/>
      <c r="B60" s="466"/>
      <c r="C60" s="808" t="e">
        <f>AUX!S386</f>
        <v>#N/A</v>
      </c>
      <c r="D60" s="809"/>
      <c r="E60" s="809"/>
      <c r="F60" s="809"/>
      <c r="G60" s="810"/>
      <c r="H60" s="811"/>
      <c r="I60" s="662"/>
      <c r="J60" s="662"/>
      <c r="K60" s="662"/>
      <c r="L60" s="812"/>
      <c r="M60" s="26"/>
      <c r="N60" s="28"/>
      <c r="O60" s="477"/>
    </row>
    <row r="61" spans="1:15" ht="14.1" customHeight="1">
      <c r="A61" s="477"/>
      <c r="B61" s="466"/>
      <c r="C61" s="808" t="e">
        <f>AUX!S387</f>
        <v>#N/A</v>
      </c>
      <c r="D61" s="809"/>
      <c r="E61" s="809"/>
      <c r="F61" s="809"/>
      <c r="G61" s="810"/>
      <c r="H61" s="811"/>
      <c r="I61" s="662"/>
      <c r="J61" s="662"/>
      <c r="K61" s="662"/>
      <c r="L61" s="812"/>
      <c r="M61" s="26"/>
      <c r="N61" s="28"/>
      <c r="O61" s="477"/>
    </row>
    <row r="62" spans="1:15" ht="14.1" customHeight="1">
      <c r="A62" s="477"/>
      <c r="B62" s="466"/>
      <c r="C62" s="808" t="e">
        <f>AUX!S388</f>
        <v>#N/A</v>
      </c>
      <c r="D62" s="809"/>
      <c r="E62" s="809"/>
      <c r="F62" s="809"/>
      <c r="G62" s="810"/>
      <c r="H62" s="811"/>
      <c r="I62" s="662"/>
      <c r="J62" s="662"/>
      <c r="K62" s="662"/>
      <c r="L62" s="812"/>
      <c r="M62" s="26"/>
      <c r="N62" s="28"/>
      <c r="O62" s="477"/>
    </row>
    <row r="63" spans="1:15" ht="14.1" customHeight="1">
      <c r="A63" s="477"/>
      <c r="B63" s="466"/>
      <c r="C63" s="808" t="e">
        <f>AUX!S389</f>
        <v>#N/A</v>
      </c>
      <c r="D63" s="809"/>
      <c r="E63" s="809"/>
      <c r="F63" s="809"/>
      <c r="G63" s="810"/>
      <c r="H63" s="811"/>
      <c r="I63" s="662"/>
      <c r="J63" s="662"/>
      <c r="K63" s="662"/>
      <c r="L63" s="812"/>
      <c r="M63" s="26"/>
      <c r="N63" s="28"/>
      <c r="O63" s="477"/>
    </row>
    <row r="64" spans="1:15" ht="14.1" customHeight="1">
      <c r="A64" s="477"/>
      <c r="B64" s="466"/>
      <c r="C64" s="808" t="e">
        <f>AUX!S390</f>
        <v>#N/A</v>
      </c>
      <c r="D64" s="809"/>
      <c r="E64" s="809"/>
      <c r="F64" s="809"/>
      <c r="G64" s="810"/>
      <c r="H64" s="811"/>
      <c r="I64" s="662"/>
      <c r="J64" s="662"/>
      <c r="K64" s="662"/>
      <c r="L64" s="812"/>
      <c r="M64" s="26"/>
      <c r="N64" s="28"/>
      <c r="O64" s="477"/>
    </row>
    <row r="65" spans="1:15" ht="14.1" customHeight="1">
      <c r="A65" s="477"/>
      <c r="B65" s="466"/>
      <c r="C65" s="808" t="e">
        <f>AUX!S391</f>
        <v>#N/A</v>
      </c>
      <c r="D65" s="809"/>
      <c r="E65" s="809"/>
      <c r="F65" s="809"/>
      <c r="G65" s="810"/>
      <c r="H65" s="811"/>
      <c r="I65" s="662"/>
      <c r="J65" s="662"/>
      <c r="K65" s="662"/>
      <c r="L65" s="812"/>
      <c r="M65" s="26"/>
      <c r="N65" s="28"/>
      <c r="O65" s="477"/>
    </row>
    <row r="66" spans="1:15" ht="14.1" customHeight="1">
      <c r="A66" s="477"/>
      <c r="B66" s="466"/>
      <c r="C66" s="808" t="e">
        <f>AUX!S392</f>
        <v>#N/A</v>
      </c>
      <c r="D66" s="809"/>
      <c r="E66" s="809"/>
      <c r="F66" s="809"/>
      <c r="G66" s="810"/>
      <c r="H66" s="811"/>
      <c r="I66" s="662"/>
      <c r="J66" s="662"/>
      <c r="K66" s="662"/>
      <c r="L66" s="812"/>
      <c r="M66" s="26"/>
      <c r="N66" s="28"/>
      <c r="O66" s="477"/>
    </row>
    <row r="67" spans="1:15" ht="14.1" customHeight="1">
      <c r="A67" s="477"/>
      <c r="B67" s="466"/>
      <c r="C67" s="808" t="e">
        <f>AUX!S393</f>
        <v>#N/A</v>
      </c>
      <c r="D67" s="809"/>
      <c r="E67" s="809"/>
      <c r="F67" s="809"/>
      <c r="G67" s="810"/>
      <c r="H67" s="811"/>
      <c r="I67" s="662"/>
      <c r="J67" s="662"/>
      <c r="K67" s="662"/>
      <c r="L67" s="812"/>
      <c r="M67" s="26"/>
      <c r="N67" s="28"/>
      <c r="O67" s="477"/>
    </row>
    <row r="68" spans="1:15" ht="14.1" customHeight="1">
      <c r="A68" s="477"/>
      <c r="B68" s="466"/>
      <c r="C68" s="808" t="e">
        <f>AUX!S394</f>
        <v>#N/A</v>
      </c>
      <c r="D68" s="809"/>
      <c r="E68" s="809"/>
      <c r="F68" s="809"/>
      <c r="G68" s="810"/>
      <c r="H68" s="811"/>
      <c r="I68" s="662"/>
      <c r="J68" s="662"/>
      <c r="K68" s="662"/>
      <c r="L68" s="812"/>
      <c r="M68" s="26"/>
      <c r="N68" s="28"/>
      <c r="O68" s="477"/>
    </row>
    <row r="69" spans="1:15" ht="14.1" customHeight="1">
      <c r="A69" s="477"/>
      <c r="B69" s="466"/>
      <c r="C69" s="808" t="e">
        <f>AUX!S395</f>
        <v>#N/A</v>
      </c>
      <c r="D69" s="809"/>
      <c r="E69" s="809"/>
      <c r="F69" s="809"/>
      <c r="G69" s="810"/>
      <c r="H69" s="811"/>
      <c r="I69" s="662"/>
      <c r="J69" s="662"/>
      <c r="K69" s="662"/>
      <c r="L69" s="812"/>
      <c r="M69" s="26"/>
      <c r="N69" s="28"/>
      <c r="O69" s="477"/>
    </row>
    <row r="70" spans="1:15" ht="14.1" customHeight="1">
      <c r="A70" s="477"/>
      <c r="B70" s="466"/>
      <c r="C70" s="808" t="e">
        <f>AUX!S396</f>
        <v>#N/A</v>
      </c>
      <c r="D70" s="809"/>
      <c r="E70" s="809"/>
      <c r="F70" s="809"/>
      <c r="G70" s="810"/>
      <c r="H70" s="811"/>
      <c r="I70" s="662"/>
      <c r="J70" s="662"/>
      <c r="K70" s="662"/>
      <c r="L70" s="812"/>
      <c r="M70" s="26"/>
      <c r="N70" s="28"/>
      <c r="O70" s="477"/>
    </row>
    <row r="71" spans="1:15" ht="14.1" customHeight="1">
      <c r="A71" s="477"/>
      <c r="B71" s="466"/>
      <c r="C71" s="813" t="e">
        <f>AUX!S397</f>
        <v>#N/A</v>
      </c>
      <c r="D71" s="814"/>
      <c r="E71" s="814"/>
      <c r="F71" s="814"/>
      <c r="G71" s="815"/>
      <c r="H71" s="811"/>
      <c r="I71" s="662"/>
      <c r="J71" s="662"/>
      <c r="K71" s="662"/>
      <c r="L71" s="812"/>
      <c r="M71" s="26"/>
      <c r="N71" s="28"/>
      <c r="O71" s="477"/>
    </row>
    <row r="72" spans="1:15" ht="26.45" customHeight="1">
      <c r="A72" s="477"/>
      <c r="B72" s="472"/>
      <c r="C72" s="816"/>
      <c r="D72" s="817"/>
      <c r="E72" s="817"/>
      <c r="F72" s="817"/>
      <c r="G72" s="818"/>
      <c r="H72" s="819"/>
      <c r="I72" s="820"/>
      <c r="J72" s="820"/>
      <c r="K72" s="820"/>
      <c r="L72" s="821"/>
      <c r="M72" s="495"/>
      <c r="N72" s="477"/>
      <c r="O72" s="477"/>
    </row>
    <row r="73" spans="1:15" ht="15" customHeight="1">
      <c r="A73" s="477"/>
      <c r="B73" s="477"/>
      <c r="C73" s="477"/>
      <c r="D73" s="477"/>
      <c r="E73" s="477"/>
      <c r="F73" s="477"/>
      <c r="G73" s="477"/>
      <c r="H73" s="807" t="s">
        <v>513</v>
      </c>
      <c r="I73" s="807"/>
      <c r="J73" s="807"/>
      <c r="K73" s="807"/>
      <c r="L73" s="807"/>
      <c r="M73" s="477"/>
      <c r="N73" s="477"/>
      <c r="O73" s="477"/>
    </row>
    <row r="74" spans="1:15" ht="26.1" customHeight="1">
      <c r="A74" s="477"/>
      <c r="B74" s="782" t="str">
        <f>"PROPORÇÃO DE INSCRITOS (%) POR DIAGNÓSTICO ATIVO " &amp; AUX!D6 &amp; ", POR SEXO, DEZEMBRO 2013 (ORDEM DECRESCENTE)"</f>
        <v>PROPORÇÃO DE INSCRITOS (%) POR DIAGNÓSTICO ATIVO NO , POR SEXO, DEZEMBRO 2013 (ORDEM DECRESCENTE)</v>
      </c>
      <c r="C74" s="782"/>
      <c r="D74" s="782"/>
      <c r="E74" s="782"/>
      <c r="F74" s="782"/>
      <c r="G74" s="782"/>
      <c r="H74" s="782"/>
      <c r="I74" s="782"/>
      <c r="J74" s="782"/>
      <c r="K74" s="782"/>
      <c r="L74" s="782"/>
      <c r="M74" s="28"/>
      <c r="N74" s="28"/>
      <c r="O74" s="477"/>
    </row>
    <row r="75" spans="1:15" ht="5.0999999999999996" customHeight="1">
      <c r="A75" s="477"/>
      <c r="B75" s="27"/>
      <c r="C75" s="27"/>
      <c r="D75" s="27"/>
      <c r="E75" s="27"/>
      <c r="F75" s="28"/>
      <c r="G75" s="28"/>
      <c r="H75" s="28"/>
      <c r="I75" s="28"/>
      <c r="J75" s="28"/>
      <c r="K75" s="28"/>
      <c r="L75" s="28"/>
      <c r="M75" s="28"/>
      <c r="N75" s="28"/>
      <c r="O75" s="477"/>
    </row>
    <row r="76" spans="1:15" ht="14.1" customHeight="1">
      <c r="A76" s="477"/>
      <c r="B76" s="493" t="s">
        <v>62</v>
      </c>
      <c r="C76" s="27"/>
      <c r="D76" s="27"/>
      <c r="E76" s="27"/>
      <c r="G76" s="492"/>
      <c r="H76" s="822" t="s">
        <v>63</v>
      </c>
      <c r="I76" s="822"/>
      <c r="J76" s="822"/>
      <c r="K76" s="822"/>
      <c r="L76" s="822"/>
      <c r="M76" s="496"/>
      <c r="N76" s="28"/>
      <c r="O76" s="477"/>
    </row>
    <row r="77" spans="1:15" ht="14.1" customHeight="1">
      <c r="A77" s="477"/>
      <c r="B77" s="465"/>
      <c r="C77" s="826" t="str">
        <f>IF(AUX!$B$5=2,AUX!S376,"")</f>
        <v/>
      </c>
      <c r="D77" s="827"/>
      <c r="E77" s="827"/>
      <c r="F77" s="827"/>
      <c r="G77" s="828"/>
      <c r="H77" s="823"/>
      <c r="I77" s="824"/>
      <c r="J77" s="824"/>
      <c r="K77" s="824"/>
      <c r="L77" s="825"/>
      <c r="M77" s="26"/>
      <c r="N77" s="28"/>
      <c r="O77" s="477"/>
    </row>
    <row r="78" spans="1:15" ht="14.1" customHeight="1">
      <c r="A78" s="477"/>
      <c r="B78" s="466"/>
      <c r="C78" s="808" t="str">
        <f>IF(AUX!$B$5=2,AUX!S377,"")</f>
        <v/>
      </c>
      <c r="D78" s="809"/>
      <c r="E78" s="809"/>
      <c r="F78" s="809"/>
      <c r="G78" s="810"/>
      <c r="H78" s="811"/>
      <c r="I78" s="662"/>
      <c r="J78" s="662"/>
      <c r="K78" s="662"/>
      <c r="L78" s="812"/>
      <c r="M78" s="26"/>
      <c r="N78" s="28"/>
      <c r="O78" s="477"/>
    </row>
    <row r="79" spans="1:15" ht="14.1" customHeight="1">
      <c r="A79" s="477"/>
      <c r="B79" s="466"/>
      <c r="C79" s="808" t="str">
        <f>IF(AUX!$B$5=2,AUX!S378,"")</f>
        <v/>
      </c>
      <c r="D79" s="809"/>
      <c r="E79" s="809"/>
      <c r="F79" s="809"/>
      <c r="G79" s="810"/>
      <c r="H79" s="811"/>
      <c r="I79" s="662"/>
      <c r="J79" s="662"/>
      <c r="K79" s="662"/>
      <c r="L79" s="812"/>
      <c r="M79" s="26"/>
      <c r="N79" s="28"/>
      <c r="O79" s="477"/>
    </row>
    <row r="80" spans="1:15" ht="14.1" customHeight="1">
      <c r="A80" s="477"/>
      <c r="B80" s="466"/>
      <c r="C80" s="808" t="str">
        <f>IF(AUX!$B$5=2,AUX!S379,"")</f>
        <v/>
      </c>
      <c r="D80" s="809"/>
      <c r="E80" s="809"/>
      <c r="F80" s="809"/>
      <c r="G80" s="810"/>
      <c r="H80" s="811"/>
      <c r="I80" s="662"/>
      <c r="J80" s="662"/>
      <c r="K80" s="662"/>
      <c r="L80" s="812"/>
      <c r="M80" s="494"/>
      <c r="N80" s="28"/>
      <c r="O80" s="477"/>
    </row>
    <row r="81" spans="1:15" ht="14.1" customHeight="1">
      <c r="A81" s="477"/>
      <c r="B81" s="466"/>
      <c r="C81" s="808" t="str">
        <f>IF(AUX!$B$5=2,AUX!S380,"")</f>
        <v/>
      </c>
      <c r="D81" s="809"/>
      <c r="E81" s="809"/>
      <c r="F81" s="809"/>
      <c r="G81" s="810"/>
      <c r="H81" s="811"/>
      <c r="I81" s="662"/>
      <c r="J81" s="662"/>
      <c r="K81" s="662"/>
      <c r="L81" s="812"/>
      <c r="M81" s="26"/>
      <c r="N81" s="28"/>
      <c r="O81" s="477"/>
    </row>
    <row r="82" spans="1:15" ht="14.1" customHeight="1">
      <c r="A82" s="477"/>
      <c r="B82" s="466"/>
      <c r="C82" s="808" t="str">
        <f>IF(AUX!$B$5=2,AUX!S381,"")</f>
        <v/>
      </c>
      <c r="D82" s="809"/>
      <c r="E82" s="809"/>
      <c r="F82" s="809"/>
      <c r="G82" s="810"/>
      <c r="H82" s="811"/>
      <c r="I82" s="662"/>
      <c r="J82" s="662"/>
      <c r="K82" s="662"/>
      <c r="L82" s="812"/>
      <c r="M82" s="26"/>
      <c r="N82" s="28"/>
      <c r="O82" s="477"/>
    </row>
    <row r="83" spans="1:15" ht="14.1" customHeight="1">
      <c r="A83" s="477"/>
      <c r="B83" s="466"/>
      <c r="C83" s="808" t="str">
        <f>IF(AUX!$B$5=2,AUX!S382,"")</f>
        <v/>
      </c>
      <c r="D83" s="809"/>
      <c r="E83" s="809"/>
      <c r="F83" s="809"/>
      <c r="G83" s="810"/>
      <c r="H83" s="811"/>
      <c r="I83" s="662"/>
      <c r="J83" s="662"/>
      <c r="K83" s="662"/>
      <c r="L83" s="812"/>
      <c r="M83" s="26"/>
      <c r="N83" s="28"/>
      <c r="O83" s="477"/>
    </row>
    <row r="84" spans="1:15" ht="14.1" customHeight="1">
      <c r="A84" s="477"/>
      <c r="B84" s="466"/>
      <c r="C84" s="808" t="str">
        <f>IF(AUX!$B$5=2,AUX!S383,"")</f>
        <v/>
      </c>
      <c r="D84" s="809"/>
      <c r="E84" s="809"/>
      <c r="F84" s="809"/>
      <c r="G84" s="810"/>
      <c r="H84" s="811"/>
      <c r="I84" s="662"/>
      <c r="J84" s="662"/>
      <c r="K84" s="662"/>
      <c r="L84" s="812"/>
      <c r="M84" s="26"/>
      <c r="N84" s="28"/>
      <c r="O84" s="477"/>
    </row>
    <row r="85" spans="1:15" ht="14.1" customHeight="1">
      <c r="A85" s="477"/>
      <c r="B85" s="466"/>
      <c r="C85" s="808" t="str">
        <f>IF(AUX!$B$5=2,AUX!S384,"")</f>
        <v/>
      </c>
      <c r="D85" s="809"/>
      <c r="E85" s="809"/>
      <c r="F85" s="809"/>
      <c r="G85" s="810"/>
      <c r="H85" s="811"/>
      <c r="I85" s="662"/>
      <c r="J85" s="662"/>
      <c r="K85" s="662"/>
      <c r="L85" s="812"/>
      <c r="M85" s="26"/>
      <c r="N85" s="28"/>
      <c r="O85" s="477"/>
    </row>
    <row r="86" spans="1:15" ht="14.1" customHeight="1">
      <c r="A86" s="477"/>
      <c r="B86" s="466"/>
      <c r="C86" s="808" t="str">
        <f>IF(AUX!$B$5=2,AUX!S385,"")</f>
        <v/>
      </c>
      <c r="D86" s="809"/>
      <c r="E86" s="809"/>
      <c r="F86" s="809"/>
      <c r="G86" s="810"/>
      <c r="H86" s="811"/>
      <c r="I86" s="662"/>
      <c r="J86" s="662"/>
      <c r="K86" s="662"/>
      <c r="L86" s="812"/>
      <c r="M86" s="26"/>
      <c r="N86" s="28"/>
      <c r="O86" s="477"/>
    </row>
    <row r="87" spans="1:15" ht="14.1" customHeight="1">
      <c r="A87" s="477"/>
      <c r="B87" s="466"/>
      <c r="C87" s="808" t="str">
        <f>IF(AUX!$B$5=2,AUX!S386,"")</f>
        <v/>
      </c>
      <c r="D87" s="809"/>
      <c r="E87" s="809"/>
      <c r="F87" s="809"/>
      <c r="G87" s="810"/>
      <c r="H87" s="811"/>
      <c r="I87" s="662"/>
      <c r="J87" s="662"/>
      <c r="K87" s="662"/>
      <c r="L87" s="812"/>
      <c r="M87" s="26"/>
      <c r="N87" s="28"/>
      <c r="O87" s="477"/>
    </row>
    <row r="88" spans="1:15" ht="14.1" customHeight="1">
      <c r="A88" s="477"/>
      <c r="B88" s="466"/>
      <c r="C88" s="808" t="str">
        <f>IF(AUX!$B$5=2,AUX!S387,"")</f>
        <v/>
      </c>
      <c r="D88" s="809"/>
      <c r="E88" s="809"/>
      <c r="F88" s="809"/>
      <c r="G88" s="810"/>
      <c r="H88" s="811"/>
      <c r="I88" s="662"/>
      <c r="J88" s="662"/>
      <c r="K88" s="662"/>
      <c r="L88" s="812"/>
      <c r="M88" s="26"/>
      <c r="N88" s="28"/>
      <c r="O88" s="477"/>
    </row>
    <row r="89" spans="1:15" ht="14.1" customHeight="1">
      <c r="A89" s="477"/>
      <c r="B89" s="466"/>
      <c r="C89" s="808" t="str">
        <f>IF(AUX!$B$5=2,AUX!S388,"")</f>
        <v/>
      </c>
      <c r="D89" s="809"/>
      <c r="E89" s="809"/>
      <c r="F89" s="809"/>
      <c r="G89" s="810"/>
      <c r="H89" s="811"/>
      <c r="I89" s="662"/>
      <c r="J89" s="662"/>
      <c r="K89" s="662"/>
      <c r="L89" s="812"/>
      <c r="M89" s="26"/>
      <c r="N89" s="28"/>
      <c r="O89" s="477"/>
    </row>
    <row r="90" spans="1:15" ht="14.1" customHeight="1">
      <c r="A90" s="477"/>
      <c r="B90" s="466"/>
      <c r="C90" s="808" t="str">
        <f>IF(AUX!$B$5=2,AUX!S389,"")</f>
        <v/>
      </c>
      <c r="D90" s="809"/>
      <c r="E90" s="809"/>
      <c r="F90" s="809"/>
      <c r="G90" s="810"/>
      <c r="H90" s="811"/>
      <c r="I90" s="662"/>
      <c r="J90" s="662"/>
      <c r="K90" s="662"/>
      <c r="L90" s="812"/>
      <c r="M90" s="26"/>
      <c r="N90" s="28"/>
      <c r="O90" s="477"/>
    </row>
    <row r="91" spans="1:15" ht="14.1" customHeight="1">
      <c r="A91" s="477"/>
      <c r="B91" s="466"/>
      <c r="C91" s="808" t="str">
        <f>IF(AUX!$B$5=2,AUX!S390,"")</f>
        <v/>
      </c>
      <c r="D91" s="809"/>
      <c r="E91" s="809"/>
      <c r="F91" s="809"/>
      <c r="G91" s="810"/>
      <c r="H91" s="811"/>
      <c r="I91" s="662"/>
      <c r="J91" s="662"/>
      <c r="K91" s="662"/>
      <c r="L91" s="812"/>
      <c r="M91" s="26"/>
      <c r="N91" s="28"/>
      <c r="O91" s="477"/>
    </row>
    <row r="92" spans="1:15" ht="14.1" customHeight="1">
      <c r="A92" s="477"/>
      <c r="B92" s="466"/>
      <c r="C92" s="808" t="str">
        <f>IF(AUX!$B$5=2,AUX!S391,"")</f>
        <v/>
      </c>
      <c r="D92" s="809"/>
      <c r="E92" s="809"/>
      <c r="F92" s="809"/>
      <c r="G92" s="810"/>
      <c r="H92" s="811"/>
      <c r="I92" s="662"/>
      <c r="J92" s="662"/>
      <c r="K92" s="662"/>
      <c r="L92" s="812"/>
      <c r="M92" s="26"/>
      <c r="N92" s="28"/>
      <c r="O92" s="477"/>
    </row>
    <row r="93" spans="1:15" ht="14.1" customHeight="1">
      <c r="A93" s="477"/>
      <c r="B93" s="466"/>
      <c r="C93" s="808" t="str">
        <f>IF(AUX!$B$5=2,AUX!S392,"")</f>
        <v/>
      </c>
      <c r="D93" s="809"/>
      <c r="E93" s="809"/>
      <c r="F93" s="809"/>
      <c r="G93" s="810"/>
      <c r="H93" s="811"/>
      <c r="I93" s="662"/>
      <c r="J93" s="662"/>
      <c r="K93" s="662"/>
      <c r="L93" s="812"/>
      <c r="M93" s="26"/>
      <c r="N93" s="28"/>
      <c r="O93" s="477"/>
    </row>
    <row r="94" spans="1:15" ht="14.1" customHeight="1">
      <c r="A94" s="477"/>
      <c r="B94" s="466"/>
      <c r="C94" s="808" t="str">
        <f>IF(AUX!$B$5=2,AUX!S393,"")</f>
        <v/>
      </c>
      <c r="D94" s="809"/>
      <c r="E94" s="809"/>
      <c r="F94" s="809"/>
      <c r="G94" s="810"/>
      <c r="H94" s="811"/>
      <c r="I94" s="662"/>
      <c r="J94" s="662"/>
      <c r="K94" s="662"/>
      <c r="L94" s="812"/>
      <c r="M94" s="26"/>
      <c r="N94" s="28"/>
      <c r="O94" s="477"/>
    </row>
    <row r="95" spans="1:15" ht="14.1" customHeight="1">
      <c r="A95" s="477"/>
      <c r="B95" s="466"/>
      <c r="C95" s="808" t="str">
        <f>IF(AUX!$B$5=2,AUX!S394,"")</f>
        <v/>
      </c>
      <c r="D95" s="809"/>
      <c r="E95" s="809"/>
      <c r="F95" s="809"/>
      <c r="G95" s="810"/>
      <c r="H95" s="811"/>
      <c r="I95" s="662"/>
      <c r="J95" s="662"/>
      <c r="K95" s="662"/>
      <c r="L95" s="812"/>
      <c r="M95" s="26"/>
      <c r="N95" s="28"/>
      <c r="O95" s="477"/>
    </row>
    <row r="96" spans="1:15" ht="14.1" customHeight="1">
      <c r="A96" s="477"/>
      <c r="B96" s="466"/>
      <c r="C96" s="808" t="str">
        <f>IF(AUX!$B$5=2,AUX!S395,"")</f>
        <v/>
      </c>
      <c r="D96" s="809"/>
      <c r="E96" s="809"/>
      <c r="F96" s="809"/>
      <c r="G96" s="810"/>
      <c r="H96" s="811"/>
      <c r="I96" s="662"/>
      <c r="J96" s="662"/>
      <c r="K96" s="662"/>
      <c r="L96" s="812"/>
      <c r="M96" s="26"/>
      <c r="N96" s="28"/>
      <c r="O96" s="477"/>
    </row>
    <row r="97" spans="1:15" ht="14.1" customHeight="1">
      <c r="A97" s="477"/>
      <c r="B97" s="466"/>
      <c r="C97" s="808" t="str">
        <f>IF(AUX!$B$5=2,AUX!S396,"")</f>
        <v/>
      </c>
      <c r="D97" s="809"/>
      <c r="E97" s="809"/>
      <c r="F97" s="809"/>
      <c r="G97" s="810"/>
      <c r="H97" s="811"/>
      <c r="I97" s="662"/>
      <c r="J97" s="662"/>
      <c r="K97" s="662"/>
      <c r="L97" s="812"/>
      <c r="M97" s="26"/>
      <c r="N97" s="28"/>
      <c r="O97" s="477"/>
    </row>
    <row r="98" spans="1:15" ht="14.1" customHeight="1">
      <c r="A98" s="477"/>
      <c r="B98" s="466"/>
      <c r="C98" s="813" t="str">
        <f>IF(AUX!$B$5=2,AUX!S397,"")</f>
        <v/>
      </c>
      <c r="D98" s="814"/>
      <c r="E98" s="814"/>
      <c r="F98" s="814"/>
      <c r="G98" s="815"/>
      <c r="H98" s="811"/>
      <c r="I98" s="662"/>
      <c r="J98" s="662"/>
      <c r="K98" s="662"/>
      <c r="L98" s="812"/>
      <c r="M98" s="26"/>
      <c r="N98" s="28"/>
      <c r="O98" s="477"/>
    </row>
    <row r="99" spans="1:15" ht="26.45" customHeight="1">
      <c r="A99" s="477"/>
      <c r="B99" s="472"/>
      <c r="C99" s="816"/>
      <c r="D99" s="817"/>
      <c r="E99" s="817"/>
      <c r="F99" s="817"/>
      <c r="G99" s="818"/>
      <c r="H99" s="819"/>
      <c r="I99" s="820"/>
      <c r="J99" s="820"/>
      <c r="K99" s="820"/>
      <c r="L99" s="821"/>
      <c r="M99" s="495"/>
      <c r="N99" s="477"/>
      <c r="O99" s="477"/>
    </row>
    <row r="100" spans="1:15" ht="15" customHeight="1">
      <c r="A100" s="477"/>
      <c r="B100" s="477"/>
      <c r="C100" s="477"/>
      <c r="D100" s="477"/>
      <c r="E100" s="477"/>
      <c r="F100" s="477"/>
      <c r="G100" s="477"/>
      <c r="H100" s="807" t="s">
        <v>513</v>
      </c>
      <c r="I100" s="807"/>
      <c r="J100" s="807"/>
      <c r="K100" s="807"/>
      <c r="L100" s="807"/>
      <c r="M100" s="477"/>
      <c r="N100" s="477"/>
      <c r="O100" s="477"/>
    </row>
    <row r="101" spans="1:15" ht="15" customHeight="1">
      <c r="A101" s="371"/>
      <c r="B101" s="370"/>
      <c r="C101" s="370"/>
      <c r="D101" s="370"/>
      <c r="E101" s="370"/>
      <c r="F101" s="370"/>
      <c r="G101" s="370"/>
      <c r="H101" s="370"/>
      <c r="I101" s="370"/>
      <c r="J101" s="370"/>
      <c r="K101" s="2"/>
      <c r="L101" s="3"/>
      <c r="M101" s="3"/>
      <c r="N101" s="4"/>
      <c r="O101" s="371"/>
    </row>
    <row r="102" spans="1:15" ht="15" customHeight="1">
      <c r="A102" s="22"/>
      <c r="B102" s="120" t="s">
        <v>28</v>
      </c>
      <c r="C102" s="22"/>
      <c r="D102" s="22"/>
      <c r="E102" s="22"/>
      <c r="F102" s="22"/>
      <c r="G102" s="22"/>
      <c r="H102" s="2"/>
      <c r="I102" s="2"/>
      <c r="J102" s="2"/>
      <c r="K102" s="2"/>
      <c r="L102" s="3"/>
      <c r="M102" s="3"/>
      <c r="N102" s="3"/>
      <c r="O102" s="22"/>
    </row>
    <row r="103" spans="1:15" ht="20.100000000000001" customHeight="1">
      <c r="A103" s="291"/>
      <c r="B103" s="120"/>
      <c r="C103" s="291"/>
      <c r="D103" s="291"/>
      <c r="E103" s="291"/>
      <c r="F103" s="291"/>
      <c r="G103" s="291"/>
      <c r="H103" s="2"/>
      <c r="I103" s="2"/>
      <c r="J103" s="2"/>
      <c r="K103" s="2"/>
      <c r="L103" s="3"/>
      <c r="M103" s="3"/>
      <c r="N103" s="3"/>
      <c r="O103" s="291"/>
    </row>
    <row r="104" spans="1:15" ht="15" customHeight="1">
      <c r="A104" s="22"/>
      <c r="B104" s="22"/>
      <c r="C104" s="22"/>
      <c r="D104" s="22"/>
      <c r="E104" s="22"/>
      <c r="F104" s="22"/>
      <c r="G104" s="22"/>
      <c r="H104" s="2"/>
      <c r="I104" s="2"/>
      <c r="J104" s="2"/>
      <c r="K104" s="2"/>
      <c r="L104" s="3"/>
      <c r="M104" s="3"/>
      <c r="N104" s="3"/>
      <c r="O104" s="22"/>
    </row>
    <row r="105" spans="1:15" ht="15" customHeight="1">
      <c r="A105" s="22"/>
      <c r="B105" s="22"/>
      <c r="C105" s="22"/>
      <c r="D105" s="22"/>
      <c r="E105" s="22"/>
      <c r="F105" s="22"/>
      <c r="G105" s="22"/>
      <c r="H105" s="2"/>
      <c r="I105" s="2"/>
      <c r="J105" s="2"/>
      <c r="K105" s="2"/>
      <c r="L105" s="3"/>
      <c r="M105" s="3"/>
      <c r="N105" s="3"/>
      <c r="O105" s="22"/>
    </row>
    <row r="106" spans="1:15" ht="15" customHeight="1" thickBot="1">
      <c r="A106" s="22"/>
      <c r="B106" s="22"/>
      <c r="C106" s="22"/>
      <c r="D106" s="22"/>
      <c r="E106" s="22"/>
      <c r="F106" s="22"/>
      <c r="G106" s="22"/>
      <c r="H106" s="2"/>
      <c r="I106" s="2"/>
      <c r="J106" s="2"/>
      <c r="K106" s="2"/>
      <c r="L106" s="3"/>
      <c r="M106" s="3"/>
      <c r="N106" s="3"/>
      <c r="O106" s="22"/>
    </row>
    <row r="107" spans="1:15" ht="15" customHeight="1">
      <c r="A107" s="22"/>
      <c r="B107" s="799"/>
      <c r="C107" s="799"/>
      <c r="D107" s="799"/>
      <c r="E107" s="799"/>
      <c r="F107" s="799"/>
      <c r="G107" s="799"/>
      <c r="H107" s="799"/>
      <c r="I107" s="799"/>
      <c r="J107" s="799"/>
      <c r="K107" s="799"/>
      <c r="L107" s="799"/>
      <c r="M107" s="799"/>
      <c r="N107" s="799"/>
      <c r="O107" s="22"/>
    </row>
  </sheetData>
  <mergeCells count="122">
    <mergeCell ref="H90:L90"/>
    <mergeCell ref="H91:L91"/>
    <mergeCell ref="H92:L92"/>
    <mergeCell ref="H93:L93"/>
    <mergeCell ref="B2:E2"/>
    <mergeCell ref="H2:N2"/>
    <mergeCell ref="H50:L50"/>
    <mergeCell ref="H51:L51"/>
    <mergeCell ref="H52:L52"/>
    <mergeCell ref="H53:L53"/>
    <mergeCell ref="H54:L54"/>
    <mergeCell ref="H55:L55"/>
    <mergeCell ref="H56:L56"/>
    <mergeCell ref="H49:L49"/>
    <mergeCell ref="B47:L47"/>
    <mergeCell ref="C21:E21"/>
    <mergeCell ref="F21:H21"/>
    <mergeCell ref="I21:K21"/>
    <mergeCell ref="L21:N21"/>
    <mergeCell ref="C65:G65"/>
    <mergeCell ref="C66:G66"/>
    <mergeCell ref="C67:G67"/>
    <mergeCell ref="C68:G68"/>
    <mergeCell ref="B21:B22"/>
    <mergeCell ref="B107:N107"/>
    <mergeCell ref="B6:N6"/>
    <mergeCell ref="B7:G7"/>
    <mergeCell ref="B8:G8"/>
    <mergeCell ref="B9:G9"/>
    <mergeCell ref="B10:G10"/>
    <mergeCell ref="B11:G11"/>
    <mergeCell ref="B12:G12"/>
    <mergeCell ref="B13:G13"/>
    <mergeCell ref="B15:G15"/>
    <mergeCell ref="B14:G14"/>
    <mergeCell ref="B17:N17"/>
    <mergeCell ref="C81:G81"/>
    <mergeCell ref="C82:G82"/>
    <mergeCell ref="C83:G83"/>
    <mergeCell ref="C84:G84"/>
    <mergeCell ref="C85:G85"/>
    <mergeCell ref="C86:G86"/>
    <mergeCell ref="H57:L57"/>
    <mergeCell ref="I45:K45"/>
    <mergeCell ref="L45:N45"/>
    <mergeCell ref="C50:G50"/>
    <mergeCell ref="B19:N19"/>
    <mergeCell ref="B45:E45"/>
    <mergeCell ref="C51:G51"/>
    <mergeCell ref="C52:G52"/>
    <mergeCell ref="C53:G53"/>
    <mergeCell ref="C54:G54"/>
    <mergeCell ref="C55:G55"/>
    <mergeCell ref="C56:G56"/>
    <mergeCell ref="C57:G57"/>
    <mergeCell ref="C58:G58"/>
    <mergeCell ref="C59:G59"/>
    <mergeCell ref="H58:L58"/>
    <mergeCell ref="H59:L59"/>
    <mergeCell ref="H60:L60"/>
    <mergeCell ref="H61:L61"/>
    <mergeCell ref="H62:L62"/>
    <mergeCell ref="H63:L63"/>
    <mergeCell ref="H64:L64"/>
    <mergeCell ref="C87:G87"/>
    <mergeCell ref="C60:G60"/>
    <mergeCell ref="C61:G61"/>
    <mergeCell ref="C62:G62"/>
    <mergeCell ref="C63:G63"/>
    <mergeCell ref="C69:G69"/>
    <mergeCell ref="C64:G64"/>
    <mergeCell ref="C70:G70"/>
    <mergeCell ref="C77:G77"/>
    <mergeCell ref="C71:G71"/>
    <mergeCell ref="H65:L65"/>
    <mergeCell ref="H66:L66"/>
    <mergeCell ref="H67:L67"/>
    <mergeCell ref="H68:L68"/>
    <mergeCell ref="H69:L69"/>
    <mergeCell ref="H70:L70"/>
    <mergeCell ref="H71:L71"/>
    <mergeCell ref="H89:L89"/>
    <mergeCell ref="C88:G88"/>
    <mergeCell ref="C72:G72"/>
    <mergeCell ref="C78:G78"/>
    <mergeCell ref="C79:G79"/>
    <mergeCell ref="C80:G80"/>
    <mergeCell ref="H78:L78"/>
    <mergeCell ref="H79:L79"/>
    <mergeCell ref="H80:L80"/>
    <mergeCell ref="H81:L81"/>
    <mergeCell ref="H82:L82"/>
    <mergeCell ref="H83:L83"/>
    <mergeCell ref="H84:L84"/>
    <mergeCell ref="H72:L72"/>
    <mergeCell ref="H76:L76"/>
    <mergeCell ref="H77:L77"/>
    <mergeCell ref="B74:L74"/>
    <mergeCell ref="B46:E46"/>
    <mergeCell ref="H73:L73"/>
    <mergeCell ref="H100:L100"/>
    <mergeCell ref="C92:G92"/>
    <mergeCell ref="C93:G93"/>
    <mergeCell ref="C94:G94"/>
    <mergeCell ref="C89:G89"/>
    <mergeCell ref="C90:G90"/>
    <mergeCell ref="C91:G91"/>
    <mergeCell ref="H94:L94"/>
    <mergeCell ref="C98:G98"/>
    <mergeCell ref="C99:G99"/>
    <mergeCell ref="C95:G95"/>
    <mergeCell ref="C96:G96"/>
    <mergeCell ref="C97:G97"/>
    <mergeCell ref="H99:L99"/>
    <mergeCell ref="H95:L95"/>
    <mergeCell ref="H96:L96"/>
    <mergeCell ref="H97:L97"/>
    <mergeCell ref="H98:L98"/>
    <mergeCell ref="H85:L85"/>
    <mergeCell ref="H86:L86"/>
    <mergeCell ref="H87:L87"/>
    <mergeCell ref="H88:L88"/>
  </mergeCells>
  <hyperlinks>
    <hyperlink ref="B4" location="INDICE!A1" display="Índice"/>
    <hyperlink ref="B102" location="'D03'!A1" display="Topo"/>
    <hyperlink ref="B9" location="'D01'!A16" display="Óbitos e Taxa Bruta de Mortalidade"/>
    <hyperlink ref="B7:G7" location="'D01'!A17" display="Nascimentos Pré-Termo e Baixo Peso à Nascença"/>
    <hyperlink ref="B9:G9" location="'D01'!A45" display="Óbitos e Taxa Bruta de Mortalidade"/>
    <hyperlink ref="B10:G10" location="'D01'!A63" display="Mortalidade Infantil e Componentes"/>
    <hyperlink ref="B11:G11" location="'D02'!A17" display="Mortalidade Proporcional"/>
    <hyperlink ref="B12:G12" location="'D03'!A17" display="Taxa de Mortalidade Padronizada pela idade (TMP)"/>
    <hyperlink ref="B13:G13" location="'D04'!A17" display="Morbilidade nos Cuidados de Saúde Primários"/>
    <hyperlink ref="B14:G14" location="'D05'!A17" display="VIH /sida"/>
    <hyperlink ref="B15:G15" location="'D05'!A79" display="Tuberculose"/>
  </hyperlinks>
  <pageMargins left="0.39370078740157483" right="0.19685039370078741" top="0.59055118110236227" bottom="0.39370078740157483" header="0.31496062992125984" footer="0.31496062992125984"/>
  <pageSetup paperSize="9" scale="64" orientation="portrait" r:id="rId1"/>
  <rowBreaks count="1" manualBreakCount="1">
    <brk id="81" max="16383" man="1"/>
  </rowBreaks>
  <drawing r:id="rId2"/>
</worksheet>
</file>

<file path=xl/worksheets/sheet12.xml><?xml version="1.0" encoding="utf-8"?>
<worksheet xmlns="http://schemas.openxmlformats.org/spreadsheetml/2006/main" xmlns:r="http://schemas.openxmlformats.org/officeDocument/2006/relationships">
  <sheetPr codeName="Folha8"/>
  <dimension ref="A1:Q127"/>
  <sheetViews>
    <sheetView zoomScaleNormal="100" workbookViewId="0"/>
  </sheetViews>
  <sheetFormatPr defaultRowHeight="14.25"/>
  <cols>
    <col min="1" max="1" width="2.7109375" style="6" customWidth="1"/>
    <col min="2" max="2" width="26.28515625" style="6" customWidth="1"/>
    <col min="3" max="4" width="9.140625" style="6" customWidth="1"/>
    <col min="5" max="5" width="2.28515625" style="6" customWidth="1"/>
    <col min="6" max="6" width="7.140625" style="6" customWidth="1"/>
    <col min="7" max="8" width="9.140625" style="6" customWidth="1"/>
    <col min="9" max="11" width="8.85546875" style="6" customWidth="1"/>
    <col min="12" max="13" width="9.140625" style="6" customWidth="1"/>
    <col min="14" max="14" width="2.28515625" style="6" customWidth="1"/>
    <col min="15" max="15" width="7.140625" style="6" customWidth="1"/>
    <col min="16" max="16" width="9.140625" style="6" customWidth="1"/>
    <col min="17" max="17" width="2.7109375" style="6" customWidth="1"/>
    <col min="18" max="16384" width="9.140625" style="6"/>
  </cols>
  <sheetData>
    <row r="1" spans="1:17" ht="9.9499999999999993" customHeight="1">
      <c r="A1" s="378"/>
      <c r="B1" s="378"/>
      <c r="C1" s="378"/>
      <c r="D1" s="378"/>
      <c r="E1" s="378"/>
      <c r="F1" s="379"/>
      <c r="G1" s="378"/>
      <c r="H1" s="378"/>
      <c r="I1" s="378"/>
      <c r="J1" s="378"/>
      <c r="K1" s="378"/>
      <c r="L1" s="378"/>
      <c r="M1" s="378"/>
      <c r="N1" s="378"/>
      <c r="O1" s="379"/>
      <c r="P1" s="378"/>
      <c r="Q1" s="378"/>
    </row>
    <row r="2" spans="1:17" ht="20.100000000000001" customHeight="1" thickBot="1">
      <c r="A2" s="378"/>
      <c r="B2" s="775" t="str">
        <f>AUX!A1</f>
        <v>Perfil Local de Saúde 2014</v>
      </c>
      <c r="C2" s="775"/>
      <c r="D2" s="775"/>
      <c r="E2" s="131"/>
      <c r="F2" s="131"/>
      <c r="G2" s="131"/>
      <c r="H2" s="776">
        <f>AUX!A3</f>
        <v>0</v>
      </c>
      <c r="I2" s="776"/>
      <c r="J2" s="776"/>
      <c r="K2" s="776"/>
      <c r="L2" s="776"/>
      <c r="M2" s="776"/>
      <c r="N2" s="776"/>
      <c r="O2" s="776"/>
      <c r="P2" s="776"/>
      <c r="Q2" s="378"/>
    </row>
    <row r="3" spans="1:17" ht="9.9499999999999993" customHeight="1" thickTop="1">
      <c r="A3" s="378"/>
      <c r="B3" s="378"/>
      <c r="C3" s="378"/>
      <c r="D3" s="378"/>
      <c r="E3" s="378"/>
      <c r="F3" s="379"/>
      <c r="G3" s="378"/>
      <c r="H3" s="378"/>
      <c r="I3" s="378"/>
      <c r="J3" s="378"/>
      <c r="K3" s="378"/>
      <c r="L3" s="378"/>
      <c r="M3" s="378"/>
      <c r="N3" s="378"/>
      <c r="O3" s="379"/>
      <c r="P3" s="378"/>
      <c r="Q3" s="378"/>
    </row>
    <row r="4" spans="1:17">
      <c r="A4" s="378"/>
      <c r="B4" s="135" t="s">
        <v>0</v>
      </c>
      <c r="C4" s="378"/>
      <c r="D4" s="378"/>
      <c r="E4" s="378"/>
      <c r="F4" s="379"/>
      <c r="G4" s="378"/>
      <c r="H4" s="378"/>
      <c r="I4" s="378"/>
      <c r="J4" s="378"/>
      <c r="K4" s="378"/>
      <c r="L4" s="378"/>
      <c r="M4" s="378"/>
      <c r="N4" s="378"/>
      <c r="O4" s="379"/>
      <c r="P4" s="378"/>
      <c r="Q4" s="378"/>
    </row>
    <row r="5" spans="1:17" ht="15" customHeight="1">
      <c r="A5" s="378"/>
      <c r="B5" s="21"/>
      <c r="C5" s="378"/>
      <c r="D5" s="378"/>
      <c r="E5" s="378"/>
      <c r="F5" s="379"/>
      <c r="G5" s="378"/>
      <c r="H5" s="378"/>
      <c r="I5" s="378"/>
      <c r="J5" s="378"/>
      <c r="K5" s="378"/>
      <c r="L5" s="378"/>
      <c r="M5" s="378"/>
      <c r="N5" s="378"/>
      <c r="O5" s="379"/>
      <c r="P5" s="378"/>
      <c r="Q5" s="378"/>
    </row>
    <row r="6" spans="1:17" s="133" customFormat="1" ht="24.95" customHeight="1">
      <c r="A6" s="132"/>
      <c r="B6" s="777" t="s">
        <v>7</v>
      </c>
      <c r="C6" s="777"/>
      <c r="D6" s="777"/>
      <c r="E6" s="777"/>
      <c r="F6" s="777"/>
      <c r="G6" s="777"/>
      <c r="H6" s="777"/>
      <c r="I6" s="777"/>
      <c r="J6" s="777"/>
      <c r="K6" s="777"/>
      <c r="L6" s="777"/>
      <c r="M6" s="777"/>
      <c r="N6" s="777"/>
      <c r="O6" s="777"/>
      <c r="P6" s="777"/>
      <c r="Q6" s="132"/>
    </row>
    <row r="7" spans="1:17" ht="18" customHeight="1">
      <c r="A7" s="385"/>
      <c r="B7" s="774" t="s">
        <v>178</v>
      </c>
      <c r="C7" s="774"/>
      <c r="D7" s="774"/>
      <c r="E7" s="774"/>
      <c r="F7" s="774"/>
      <c r="G7" s="774"/>
      <c r="H7" s="385"/>
      <c r="I7" s="385"/>
      <c r="J7" s="385"/>
      <c r="K7" s="385"/>
      <c r="L7" s="385"/>
      <c r="M7" s="385"/>
      <c r="N7" s="385"/>
      <c r="O7" s="385"/>
      <c r="P7" s="385"/>
      <c r="Q7" s="385"/>
    </row>
    <row r="8" spans="1:17" ht="15" customHeight="1">
      <c r="A8" s="385"/>
      <c r="B8" s="778" t="s">
        <v>38</v>
      </c>
      <c r="C8" s="778"/>
      <c r="D8" s="778"/>
      <c r="E8" s="778"/>
      <c r="F8" s="778"/>
      <c r="G8" s="778"/>
      <c r="H8" s="385"/>
      <c r="I8" s="385"/>
      <c r="J8" s="385"/>
      <c r="K8" s="385"/>
      <c r="L8" s="385"/>
      <c r="M8" s="385"/>
      <c r="N8" s="385"/>
      <c r="O8" s="385"/>
      <c r="P8" s="385"/>
      <c r="Q8" s="385"/>
    </row>
    <row r="9" spans="1:17" ht="15" customHeight="1">
      <c r="A9" s="385"/>
      <c r="B9" s="773" t="s">
        <v>41</v>
      </c>
      <c r="C9" s="773"/>
      <c r="D9" s="773"/>
      <c r="E9" s="773"/>
      <c r="F9" s="773"/>
      <c r="G9" s="773"/>
      <c r="H9" s="385"/>
      <c r="I9" s="385"/>
      <c r="J9" s="385"/>
      <c r="K9" s="385"/>
      <c r="L9" s="385"/>
      <c r="M9" s="385"/>
      <c r="N9" s="385"/>
      <c r="O9" s="385"/>
      <c r="P9" s="385"/>
      <c r="Q9" s="385"/>
    </row>
    <row r="10" spans="1:17" ht="15" customHeight="1">
      <c r="A10" s="385"/>
      <c r="B10" s="773" t="s">
        <v>127</v>
      </c>
      <c r="C10" s="773"/>
      <c r="D10" s="773"/>
      <c r="E10" s="773"/>
      <c r="F10" s="773"/>
      <c r="G10" s="773"/>
      <c r="H10" s="385"/>
      <c r="I10" s="385"/>
      <c r="J10" s="385"/>
      <c r="K10" s="385"/>
      <c r="L10" s="385"/>
      <c r="M10" s="385"/>
      <c r="N10" s="385"/>
      <c r="O10" s="385"/>
      <c r="P10" s="385"/>
      <c r="Q10" s="385"/>
    </row>
    <row r="11" spans="1:17" ht="15" customHeight="1">
      <c r="A11" s="385"/>
      <c r="B11" s="773" t="s">
        <v>40</v>
      </c>
      <c r="C11" s="773"/>
      <c r="D11" s="773"/>
      <c r="E11" s="773"/>
      <c r="F11" s="773"/>
      <c r="G11" s="773"/>
      <c r="H11" s="134"/>
      <c r="I11" s="385"/>
      <c r="J11" s="385"/>
      <c r="K11" s="385"/>
      <c r="L11" s="385"/>
      <c r="M11" s="385"/>
      <c r="N11" s="385"/>
      <c r="O11" s="385"/>
      <c r="P11" s="385"/>
      <c r="Q11" s="385"/>
    </row>
    <row r="12" spans="1:17" ht="15" customHeight="1">
      <c r="A12" s="385"/>
      <c r="B12" s="773" t="s">
        <v>364</v>
      </c>
      <c r="C12" s="773"/>
      <c r="D12" s="773"/>
      <c r="E12" s="773"/>
      <c r="F12" s="773"/>
      <c r="G12" s="773"/>
      <c r="H12" s="385"/>
      <c r="I12" s="385"/>
      <c r="J12" s="385"/>
      <c r="K12" s="385"/>
      <c r="L12" s="385"/>
      <c r="M12" s="385"/>
      <c r="N12" s="385"/>
      <c r="O12" s="385"/>
      <c r="P12" s="385"/>
      <c r="Q12" s="385"/>
    </row>
    <row r="13" spans="1:17" ht="15" customHeight="1">
      <c r="A13" s="385"/>
      <c r="B13" s="774" t="s">
        <v>462</v>
      </c>
      <c r="C13" s="774"/>
      <c r="D13" s="774"/>
      <c r="E13" s="774"/>
      <c r="F13" s="774"/>
      <c r="G13" s="774"/>
      <c r="H13" s="385"/>
      <c r="I13" s="385"/>
      <c r="J13" s="385"/>
      <c r="K13" s="385"/>
      <c r="L13" s="385"/>
      <c r="M13" s="385"/>
      <c r="N13" s="385"/>
      <c r="O13" s="385"/>
      <c r="P13" s="385"/>
      <c r="Q13" s="385"/>
    </row>
    <row r="14" spans="1:17" ht="15" customHeight="1">
      <c r="A14" s="385"/>
      <c r="B14" s="774" t="s">
        <v>125</v>
      </c>
      <c r="C14" s="774"/>
      <c r="D14" s="774"/>
      <c r="E14" s="774"/>
      <c r="F14" s="774"/>
      <c r="G14" s="774"/>
      <c r="H14" s="385"/>
      <c r="I14" s="385"/>
      <c r="J14" s="385"/>
      <c r="K14" s="385"/>
      <c r="L14" s="385"/>
      <c r="M14" s="385"/>
      <c r="N14" s="385"/>
      <c r="O14" s="385"/>
      <c r="P14" s="385"/>
      <c r="Q14" s="385"/>
    </row>
    <row r="15" spans="1:17" ht="15" customHeight="1">
      <c r="A15" s="385"/>
      <c r="B15" s="774" t="s">
        <v>29</v>
      </c>
      <c r="C15" s="774"/>
      <c r="D15" s="774"/>
      <c r="E15" s="774"/>
      <c r="F15" s="774"/>
      <c r="G15" s="774"/>
      <c r="H15" s="385"/>
      <c r="I15" s="385"/>
      <c r="J15" s="385"/>
      <c r="K15" s="385"/>
      <c r="L15" s="385"/>
      <c r="M15" s="385"/>
      <c r="N15" s="385"/>
      <c r="O15" s="385"/>
      <c r="P15" s="385"/>
      <c r="Q15" s="385"/>
    </row>
    <row r="16" spans="1:17" ht="20.100000000000001" customHeight="1">
      <c r="A16" s="378"/>
      <c r="B16" s="378"/>
      <c r="C16" s="378"/>
      <c r="D16" s="378"/>
      <c r="E16" s="378"/>
      <c r="F16" s="379"/>
      <c r="G16" s="378"/>
      <c r="H16" s="378"/>
      <c r="I16" s="378"/>
      <c r="J16" s="378"/>
      <c r="K16" s="378"/>
      <c r="L16" s="378"/>
      <c r="M16" s="378"/>
      <c r="N16" s="378"/>
      <c r="O16" s="379"/>
      <c r="P16" s="385"/>
      <c r="Q16" s="385"/>
    </row>
    <row r="17" spans="1:17" ht="20.100000000000001" customHeight="1" thickBot="1">
      <c r="A17" s="378"/>
      <c r="B17" s="785" t="s">
        <v>69</v>
      </c>
      <c r="C17" s="785"/>
      <c r="D17" s="785"/>
      <c r="E17" s="785"/>
      <c r="F17" s="785"/>
      <c r="G17" s="785"/>
      <c r="H17" s="785"/>
      <c r="I17" s="785"/>
      <c r="J17" s="785"/>
      <c r="K17" s="785"/>
      <c r="L17" s="785"/>
      <c r="M17" s="785"/>
      <c r="N17" s="785"/>
      <c r="O17" s="785"/>
      <c r="P17" s="785"/>
      <c r="Q17" s="378"/>
    </row>
    <row r="18" spans="1:17" ht="9.9499999999999993" customHeight="1">
      <c r="A18" s="378"/>
      <c r="B18" s="378"/>
      <c r="C18" s="378"/>
      <c r="D18" s="378"/>
      <c r="E18" s="378"/>
      <c r="F18" s="379"/>
      <c r="G18" s="378"/>
      <c r="H18" s="378"/>
      <c r="I18" s="378"/>
      <c r="J18" s="378"/>
      <c r="K18" s="378"/>
      <c r="L18" s="378"/>
      <c r="M18" s="378"/>
      <c r="N18" s="378"/>
      <c r="O18" s="379"/>
      <c r="P18" s="378"/>
      <c r="Q18" s="378"/>
    </row>
    <row r="19" spans="1:17" ht="15.95" customHeight="1">
      <c r="A19" s="497"/>
      <c r="B19" s="784" t="s">
        <v>446</v>
      </c>
      <c r="C19" s="784"/>
      <c r="D19" s="784"/>
      <c r="E19" s="784"/>
      <c r="F19" s="784"/>
      <c r="G19" s="784"/>
      <c r="H19" s="784"/>
      <c r="I19" s="784"/>
      <c r="J19" s="784"/>
      <c r="K19" s="784"/>
      <c r="L19" s="784"/>
      <c r="M19" s="784"/>
      <c r="N19" s="784"/>
      <c r="O19" s="784"/>
      <c r="P19" s="784"/>
      <c r="Q19" s="497"/>
    </row>
    <row r="20" spans="1:17" ht="5.0999999999999996" customHeight="1">
      <c r="A20" s="497"/>
      <c r="B20" s="27"/>
      <c r="C20" s="27"/>
      <c r="D20" s="27"/>
      <c r="E20" s="27"/>
      <c r="F20" s="27"/>
      <c r="G20" s="27"/>
      <c r="H20" s="27"/>
      <c r="I20" s="27"/>
      <c r="J20" s="27"/>
      <c r="K20" s="27"/>
      <c r="L20" s="27"/>
      <c r="M20" s="27"/>
      <c r="N20" s="27"/>
      <c r="O20" s="27"/>
      <c r="P20" s="27"/>
      <c r="Q20" s="497"/>
    </row>
    <row r="21" spans="1:17" ht="20.100000000000001" customHeight="1">
      <c r="A21" s="497"/>
      <c r="B21" s="115"/>
      <c r="C21" s="116">
        <v>2001</v>
      </c>
      <c r="D21" s="116">
        <v>2002</v>
      </c>
      <c r="E21" s="846">
        <v>2003</v>
      </c>
      <c r="F21" s="847"/>
      <c r="G21" s="116">
        <v>2004</v>
      </c>
      <c r="H21" s="116">
        <v>2005</v>
      </c>
      <c r="I21" s="116">
        <v>2006</v>
      </c>
      <c r="J21" s="502">
        <v>2007</v>
      </c>
      <c r="K21" s="501" t="s">
        <v>121</v>
      </c>
      <c r="L21" s="116">
        <v>2009</v>
      </c>
      <c r="M21" s="116">
        <v>2010</v>
      </c>
      <c r="N21" s="841" t="s">
        <v>439</v>
      </c>
      <c r="O21" s="841"/>
      <c r="P21" s="116">
        <v>2012</v>
      </c>
      <c r="Q21" s="497"/>
    </row>
    <row r="22" spans="1:17" ht="15.95" customHeight="1">
      <c r="A22" s="497"/>
      <c r="B22" s="498" t="s">
        <v>16</v>
      </c>
      <c r="C22" s="138">
        <f>AUX!C404</f>
        <v>10.481357614301229</v>
      </c>
      <c r="D22" s="138">
        <f>AUX!D404</f>
        <v>10.385730670906113</v>
      </c>
      <c r="E22" s="848">
        <f>AUX!E404</f>
        <v>9.5255971565741167</v>
      </c>
      <c r="F22" s="849"/>
      <c r="G22" s="138">
        <f>AUX!F404</f>
        <v>8.3228696533449682</v>
      </c>
      <c r="H22" s="138">
        <f>AUX!G404</f>
        <v>8.199136220999117</v>
      </c>
      <c r="I22" s="138">
        <f>AUX!H404</f>
        <v>6.9381773458027514</v>
      </c>
      <c r="J22" s="138">
        <f>AUX!I404</f>
        <v>5.9493681860675363</v>
      </c>
      <c r="K22" s="138">
        <f>AUX!J404</f>
        <v>5.4840260076201091</v>
      </c>
      <c r="L22" s="138">
        <f>AUX!K404</f>
        <v>4.3856443242453036</v>
      </c>
      <c r="M22" s="138">
        <f>AUX!L404</f>
        <v>4.7122301210620625</v>
      </c>
      <c r="N22" s="842">
        <f>AUX!M404</f>
        <v>3.763259703697059</v>
      </c>
      <c r="O22" s="843"/>
      <c r="P22" s="138">
        <f>AUX!N404</f>
        <v>2.3591015361799461</v>
      </c>
      <c r="Q22" s="497"/>
    </row>
    <row r="23" spans="1:17" ht="15.95" customHeight="1">
      <c r="A23" s="497"/>
      <c r="B23" s="499">
        <f>AUX!A2</f>
        <v>0</v>
      </c>
      <c r="C23" s="140">
        <f>AUX!C405</f>
        <v>0</v>
      </c>
      <c r="D23" s="140">
        <f>AUX!D405</f>
        <v>0</v>
      </c>
      <c r="E23" s="850">
        <f>AUX!E405</f>
        <v>0</v>
      </c>
      <c r="F23" s="851"/>
      <c r="G23" s="140">
        <f>AUX!F405</f>
        <v>0</v>
      </c>
      <c r="H23" s="140">
        <f>AUX!G405</f>
        <v>0</v>
      </c>
      <c r="I23" s="140">
        <f>AUX!H405</f>
        <v>0</v>
      </c>
      <c r="J23" s="140">
        <f>AUX!I405</f>
        <v>0</v>
      </c>
      <c r="K23" s="140">
        <f>AUX!J405</f>
        <v>0</v>
      </c>
      <c r="L23" s="140">
        <f>AUX!K405</f>
        <v>0</v>
      </c>
      <c r="M23" s="140">
        <f>AUX!L405</f>
        <v>0</v>
      </c>
      <c r="N23" s="844">
        <f>AUX!M405</f>
        <v>0</v>
      </c>
      <c r="O23" s="845"/>
      <c r="P23" s="140">
        <f>AUX!N405</f>
        <v>0</v>
      </c>
      <c r="Q23" s="497"/>
    </row>
    <row r="24" spans="1:17" ht="15.95" customHeight="1">
      <c r="A24" s="497"/>
      <c r="B24" s="500">
        <f>AUX!A3</f>
        <v>0</v>
      </c>
      <c r="C24" s="119">
        <f>AUX!C406</f>
        <v>0</v>
      </c>
      <c r="D24" s="119">
        <f>AUX!D406</f>
        <v>0</v>
      </c>
      <c r="E24" s="837">
        <f>AUX!E406</f>
        <v>0</v>
      </c>
      <c r="F24" s="838"/>
      <c r="G24" s="119">
        <f>AUX!F406</f>
        <v>0</v>
      </c>
      <c r="H24" s="119">
        <f>AUX!G406</f>
        <v>0</v>
      </c>
      <c r="I24" s="119">
        <f>AUX!H406</f>
        <v>0</v>
      </c>
      <c r="J24" s="119">
        <f>AUX!I406</f>
        <v>0</v>
      </c>
      <c r="K24" s="119">
        <f>AUX!J406</f>
        <v>0</v>
      </c>
      <c r="L24" s="119">
        <f>AUX!K406</f>
        <v>0</v>
      </c>
      <c r="M24" s="119">
        <f>AUX!L406</f>
        <v>0</v>
      </c>
      <c r="N24" s="839">
        <f>AUX!M406</f>
        <v>0</v>
      </c>
      <c r="O24" s="840"/>
      <c r="P24" s="119">
        <f>AUX!N406</f>
        <v>0</v>
      </c>
      <c r="Q24" s="497"/>
    </row>
    <row r="25" spans="1:17" ht="12.95" customHeight="1">
      <c r="A25" s="497"/>
      <c r="B25" s="853" t="s">
        <v>443</v>
      </c>
      <c r="C25" s="853"/>
      <c r="D25" s="853"/>
      <c r="E25" s="853"/>
      <c r="F25" s="853"/>
      <c r="G25" s="853"/>
      <c r="H25" s="853"/>
      <c r="I25" s="853"/>
      <c r="J25" s="563"/>
      <c r="K25" s="651" t="s">
        <v>692</v>
      </c>
      <c r="L25" s="651"/>
      <c r="M25" s="651"/>
      <c r="N25" s="651"/>
      <c r="O25" s="651"/>
      <c r="P25" s="651"/>
      <c r="Q25" s="497"/>
    </row>
    <row r="26" spans="1:17" ht="15" customHeight="1">
      <c r="A26" s="497"/>
      <c r="B26" s="31"/>
      <c r="C26" s="27"/>
      <c r="D26" s="27"/>
      <c r="E26" s="27"/>
      <c r="F26" s="27"/>
      <c r="G26" s="28"/>
      <c r="H26" s="28"/>
      <c r="I26" s="28"/>
      <c r="J26" s="28"/>
      <c r="K26" s="28"/>
      <c r="L26" s="28"/>
      <c r="M26" s="28"/>
      <c r="N26" s="28"/>
      <c r="O26" s="28"/>
      <c r="P26" s="28"/>
      <c r="Q26" s="497"/>
    </row>
    <row r="27" spans="1:17" ht="15.95" customHeight="1">
      <c r="A27" s="497"/>
      <c r="B27" s="784" t="s">
        <v>445</v>
      </c>
      <c r="C27" s="784"/>
      <c r="D27" s="784"/>
      <c r="E27" s="784"/>
      <c r="F27" s="784"/>
      <c r="G27" s="784"/>
      <c r="H27" s="784"/>
      <c r="I27" s="784"/>
      <c r="J27" s="784"/>
      <c r="K27" s="784"/>
      <c r="L27" s="784"/>
      <c r="M27" s="784"/>
      <c r="N27" s="784"/>
      <c r="O27" s="784"/>
      <c r="P27" s="784"/>
      <c r="Q27" s="497"/>
    </row>
    <row r="28" spans="1:17" ht="5.0999999999999996" customHeight="1">
      <c r="A28" s="497"/>
      <c r="B28" s="27"/>
      <c r="C28" s="27"/>
      <c r="D28" s="27"/>
      <c r="E28" s="27"/>
      <c r="F28" s="27"/>
      <c r="G28" s="27"/>
      <c r="H28" s="27"/>
      <c r="I28" s="27"/>
      <c r="J28" s="27"/>
      <c r="K28" s="27"/>
      <c r="L28" s="27"/>
      <c r="M28" s="27"/>
      <c r="N28" s="27"/>
      <c r="O28" s="27"/>
      <c r="P28" s="27"/>
      <c r="Q28" s="497"/>
    </row>
    <row r="29" spans="1:17" ht="20.100000000000001" customHeight="1">
      <c r="A29" s="497"/>
      <c r="B29" s="115"/>
      <c r="C29" s="116">
        <v>2001</v>
      </c>
      <c r="D29" s="116">
        <v>2002</v>
      </c>
      <c r="E29" s="846">
        <v>2003</v>
      </c>
      <c r="F29" s="847"/>
      <c r="G29" s="116">
        <v>2004</v>
      </c>
      <c r="H29" s="116">
        <v>2005</v>
      </c>
      <c r="I29" s="116">
        <v>2006</v>
      </c>
      <c r="J29" s="502">
        <v>2007</v>
      </c>
      <c r="K29" s="501" t="s">
        <v>121</v>
      </c>
      <c r="L29" s="116">
        <v>2009</v>
      </c>
      <c r="M29" s="116">
        <v>2010</v>
      </c>
      <c r="N29" s="841" t="s">
        <v>439</v>
      </c>
      <c r="O29" s="841"/>
      <c r="P29" s="116">
        <v>2012</v>
      </c>
      <c r="Q29" s="497"/>
    </row>
    <row r="30" spans="1:17" ht="15.95" customHeight="1">
      <c r="A30" s="497"/>
      <c r="B30" s="498" t="s">
        <v>16</v>
      </c>
      <c r="C30" s="138">
        <f>AUX!C411</f>
        <v>23.980536068275665</v>
      </c>
      <c r="D30" s="138">
        <f>AUX!D411</f>
        <v>22.99769458940704</v>
      </c>
      <c r="E30" s="848">
        <f>AUX!E411</f>
        <v>21.299596592466045</v>
      </c>
      <c r="F30" s="849"/>
      <c r="G30" s="138">
        <f>AUX!F411</f>
        <v>20.581825677044414</v>
      </c>
      <c r="H30" s="138">
        <f>AUX!G411</f>
        <v>19.167980653238182</v>
      </c>
      <c r="I30" s="138">
        <f>AUX!H411</f>
        <v>19.287134722432974</v>
      </c>
      <c r="J30" s="138">
        <f>AUX!I411</f>
        <v>18.824717761275672</v>
      </c>
      <c r="K30" s="138">
        <f>AUX!J411</f>
        <v>18.183875709477203</v>
      </c>
      <c r="L30" s="138">
        <f>AUX!K411</f>
        <v>16.508321039109305</v>
      </c>
      <c r="M30" s="138">
        <f>AUX!L411</f>
        <v>15.339601427845492</v>
      </c>
      <c r="N30" s="842">
        <f>AUX!M411</f>
        <v>12.763224709364101</v>
      </c>
      <c r="O30" s="843"/>
      <c r="P30" s="138">
        <f>AUX!N411</f>
        <v>7.3871865899872038</v>
      </c>
      <c r="Q30" s="497"/>
    </row>
    <row r="31" spans="1:17" ht="15.95" customHeight="1">
      <c r="A31" s="497"/>
      <c r="B31" s="499">
        <f>AUX!A10</f>
        <v>0</v>
      </c>
      <c r="C31" s="140">
        <f>AUX!C412</f>
        <v>0</v>
      </c>
      <c r="D31" s="140">
        <f>AUX!D412</f>
        <v>0</v>
      </c>
      <c r="E31" s="850">
        <f>AUX!E412</f>
        <v>0</v>
      </c>
      <c r="F31" s="851"/>
      <c r="G31" s="140">
        <f>AUX!F412</f>
        <v>0</v>
      </c>
      <c r="H31" s="140">
        <f>AUX!G412</f>
        <v>0</v>
      </c>
      <c r="I31" s="140">
        <f>AUX!H412</f>
        <v>0</v>
      </c>
      <c r="J31" s="140">
        <f>AUX!I412</f>
        <v>0</v>
      </c>
      <c r="K31" s="140">
        <f>AUX!J412</f>
        <v>0</v>
      </c>
      <c r="L31" s="140">
        <f>AUX!K412</f>
        <v>0</v>
      </c>
      <c r="M31" s="140">
        <f>AUX!L412</f>
        <v>0</v>
      </c>
      <c r="N31" s="844">
        <f>AUX!M412</f>
        <v>0</v>
      </c>
      <c r="O31" s="845"/>
      <c r="P31" s="140">
        <f>AUX!N412</f>
        <v>0</v>
      </c>
      <c r="Q31" s="497"/>
    </row>
    <row r="32" spans="1:17" ht="15.95" customHeight="1">
      <c r="A32" s="497"/>
      <c r="B32" s="500">
        <f>AUX!A11</f>
        <v>0</v>
      </c>
      <c r="C32" s="119">
        <f>AUX!C413</f>
        <v>0</v>
      </c>
      <c r="D32" s="119">
        <f>AUX!D413</f>
        <v>0</v>
      </c>
      <c r="E32" s="837">
        <f>AUX!E413</f>
        <v>0</v>
      </c>
      <c r="F32" s="838"/>
      <c r="G32" s="119">
        <f>AUX!F413</f>
        <v>0</v>
      </c>
      <c r="H32" s="119">
        <f>AUX!G413</f>
        <v>0</v>
      </c>
      <c r="I32" s="119">
        <f>AUX!H413</f>
        <v>0</v>
      </c>
      <c r="J32" s="119">
        <f>AUX!I413</f>
        <v>0</v>
      </c>
      <c r="K32" s="119">
        <f>AUX!J413</f>
        <v>0</v>
      </c>
      <c r="L32" s="119">
        <f>AUX!K413</f>
        <v>0</v>
      </c>
      <c r="M32" s="119">
        <f>AUX!L413</f>
        <v>0</v>
      </c>
      <c r="N32" s="839">
        <f>AUX!M413</f>
        <v>0</v>
      </c>
      <c r="O32" s="840"/>
      <c r="P32" s="119">
        <f>AUX!N413</f>
        <v>0</v>
      </c>
      <c r="Q32" s="497"/>
    </row>
    <row r="33" spans="1:17" ht="24" customHeight="1">
      <c r="A33" s="497"/>
      <c r="B33" s="852" t="s">
        <v>444</v>
      </c>
      <c r="C33" s="852"/>
      <c r="D33" s="852"/>
      <c r="E33" s="852"/>
      <c r="F33" s="852"/>
      <c r="G33" s="852"/>
      <c r="H33" s="852"/>
      <c r="I33" s="852"/>
      <c r="J33" s="563"/>
      <c r="K33" s="644" t="s">
        <v>692</v>
      </c>
      <c r="L33" s="644"/>
      <c r="M33" s="644"/>
      <c r="N33" s="644"/>
      <c r="O33" s="644"/>
      <c r="P33" s="644"/>
      <c r="Q33" s="497"/>
    </row>
    <row r="34" spans="1:17" ht="15" customHeight="1">
      <c r="A34" s="378"/>
      <c r="B34" s="31"/>
      <c r="C34" s="27"/>
      <c r="D34" s="27"/>
      <c r="E34" s="27"/>
      <c r="F34" s="27"/>
      <c r="G34" s="28"/>
      <c r="H34" s="28"/>
      <c r="I34" s="28"/>
      <c r="J34" s="28"/>
      <c r="K34" s="28"/>
      <c r="L34" s="28"/>
      <c r="M34" s="28"/>
      <c r="N34" s="28"/>
      <c r="O34" s="28"/>
      <c r="P34" s="28"/>
      <c r="Q34" s="378"/>
    </row>
    <row r="35" spans="1:17" ht="24" customHeight="1">
      <c r="A35" s="378"/>
      <c r="B35" s="782" t="s">
        <v>447</v>
      </c>
      <c r="C35" s="782"/>
      <c r="D35" s="782"/>
      <c r="E35" s="782"/>
      <c r="F35" s="782"/>
      <c r="G35" s="782"/>
      <c r="I35" s="782" t="s">
        <v>448</v>
      </c>
      <c r="J35" s="782"/>
      <c r="K35" s="782"/>
      <c r="L35" s="782"/>
      <c r="M35" s="782"/>
      <c r="N35" s="782"/>
      <c r="O35" s="782"/>
      <c r="P35" s="782"/>
      <c r="Q35" s="378"/>
    </row>
    <row r="36" spans="1:17" ht="5.0999999999999996" customHeight="1">
      <c r="A36" s="378"/>
      <c r="B36" s="378"/>
      <c r="C36" s="378"/>
      <c r="D36" s="378"/>
      <c r="E36" s="378"/>
      <c r="F36" s="379"/>
      <c r="G36" s="378"/>
      <c r="H36" s="378"/>
      <c r="I36" s="378"/>
      <c r="J36" s="378"/>
      <c r="K36" s="378"/>
      <c r="L36" s="378"/>
      <c r="M36" s="378"/>
      <c r="N36" s="378"/>
      <c r="O36" s="379"/>
      <c r="P36" s="378"/>
      <c r="Q36" s="378"/>
    </row>
    <row r="37" spans="1:17" ht="15" customHeight="1">
      <c r="A37" s="378"/>
      <c r="B37" s="27"/>
      <c r="C37" s="27"/>
      <c r="D37" s="27"/>
      <c r="E37" s="27"/>
      <c r="F37" s="27"/>
      <c r="G37" s="28"/>
      <c r="H37" s="28"/>
      <c r="I37" s="28"/>
      <c r="J37" s="28"/>
      <c r="K37" s="28"/>
      <c r="L37" s="28"/>
      <c r="M37" s="28"/>
      <c r="N37" s="28"/>
      <c r="O37" s="28"/>
      <c r="P37" s="28"/>
      <c r="Q37" s="378"/>
    </row>
    <row r="38" spans="1:17" ht="15" customHeight="1">
      <c r="A38" s="378"/>
      <c r="B38" s="27"/>
      <c r="C38" s="27"/>
      <c r="D38" s="27"/>
      <c r="E38" s="27"/>
      <c r="F38" s="27"/>
      <c r="G38" s="28"/>
      <c r="H38" s="28"/>
      <c r="I38" s="28"/>
      <c r="J38" s="28"/>
      <c r="K38" s="28"/>
      <c r="L38" s="28"/>
      <c r="M38" s="28"/>
      <c r="N38" s="28"/>
      <c r="O38" s="28"/>
      <c r="P38" s="28"/>
      <c r="Q38" s="378"/>
    </row>
    <row r="39" spans="1:17" ht="15" customHeight="1">
      <c r="A39" s="378"/>
      <c r="B39" s="27"/>
      <c r="C39" s="27"/>
      <c r="D39" s="27"/>
      <c r="E39" s="27"/>
      <c r="F39" s="27"/>
      <c r="G39" s="28"/>
      <c r="H39" s="28"/>
      <c r="I39" s="28"/>
      <c r="J39" s="28"/>
      <c r="K39" s="28"/>
      <c r="L39" s="28"/>
      <c r="M39" s="28"/>
      <c r="N39" s="28"/>
      <c r="O39" s="28"/>
      <c r="P39" s="28"/>
      <c r="Q39" s="378"/>
    </row>
    <row r="40" spans="1:17" ht="15" customHeight="1">
      <c r="A40" s="378"/>
      <c r="B40" s="27"/>
      <c r="C40" s="27"/>
      <c r="D40" s="27"/>
      <c r="E40" s="27"/>
      <c r="F40" s="27"/>
      <c r="G40" s="28"/>
      <c r="H40" s="28"/>
      <c r="I40" s="28"/>
      <c r="J40" s="28"/>
      <c r="K40" s="28"/>
      <c r="L40" s="28"/>
      <c r="M40" s="28"/>
      <c r="N40" s="28"/>
      <c r="O40" s="28"/>
      <c r="P40" s="28"/>
      <c r="Q40" s="378"/>
    </row>
    <row r="41" spans="1:17" ht="15" customHeight="1">
      <c r="A41" s="378"/>
      <c r="B41" s="27"/>
      <c r="C41" s="27"/>
      <c r="D41" s="27"/>
      <c r="E41" s="27"/>
      <c r="F41" s="27"/>
      <c r="G41" s="28"/>
      <c r="H41" s="28"/>
      <c r="I41" s="28"/>
      <c r="J41" s="28"/>
      <c r="K41" s="28"/>
      <c r="L41" s="28"/>
      <c r="M41" s="28"/>
      <c r="N41" s="28"/>
      <c r="O41" s="28"/>
      <c r="P41" s="28"/>
      <c r="Q41" s="378"/>
    </row>
    <row r="42" spans="1:17" ht="15" customHeight="1">
      <c r="A42" s="379"/>
      <c r="B42" s="27"/>
      <c r="C42" s="27"/>
      <c r="D42" s="27"/>
      <c r="E42" s="27"/>
      <c r="F42" s="27"/>
      <c r="G42" s="28"/>
      <c r="H42" s="28"/>
      <c r="I42" s="28"/>
      <c r="J42" s="28"/>
      <c r="K42" s="28"/>
      <c r="L42" s="28"/>
      <c r="M42" s="28"/>
      <c r="N42" s="28"/>
      <c r="O42" s="28"/>
      <c r="P42" s="28"/>
      <c r="Q42" s="379"/>
    </row>
    <row r="43" spans="1:17" ht="15" customHeight="1">
      <c r="A43" s="379"/>
      <c r="B43" s="27"/>
      <c r="C43" s="27"/>
      <c r="D43" s="27"/>
      <c r="E43" s="27"/>
      <c r="F43" s="27"/>
      <c r="G43" s="28"/>
      <c r="H43" s="28"/>
      <c r="I43" s="28"/>
      <c r="J43" s="28"/>
      <c r="K43" s="28"/>
      <c r="L43" s="28"/>
      <c r="M43" s="28"/>
      <c r="N43" s="28"/>
      <c r="O43" s="28"/>
      <c r="P43" s="28"/>
      <c r="Q43" s="379"/>
    </row>
    <row r="44" spans="1:17" ht="15" customHeight="1">
      <c r="A44" s="379"/>
      <c r="B44" s="27"/>
      <c r="C44" s="27"/>
      <c r="D44" s="27"/>
      <c r="E44" s="27"/>
      <c r="F44" s="27"/>
      <c r="G44" s="28"/>
      <c r="H44" s="28"/>
      <c r="I44" s="28"/>
      <c r="J44" s="28"/>
      <c r="K44" s="28"/>
      <c r="L44" s="28"/>
      <c r="M44" s="28"/>
      <c r="N44" s="28"/>
      <c r="O44" s="28"/>
      <c r="P44" s="28"/>
      <c r="Q44" s="379"/>
    </row>
    <row r="45" spans="1:17" ht="15" customHeight="1">
      <c r="A45" s="378"/>
      <c r="B45" s="378"/>
      <c r="C45" s="378"/>
      <c r="D45" s="378"/>
      <c r="E45" s="378"/>
      <c r="F45" s="379"/>
      <c r="G45" s="378"/>
      <c r="H45" s="378"/>
      <c r="I45" s="378"/>
      <c r="J45" s="378"/>
      <c r="K45" s="378"/>
      <c r="L45" s="378"/>
      <c r="M45" s="378"/>
      <c r="N45" s="378"/>
      <c r="O45" s="379"/>
      <c r="P45" s="378"/>
      <c r="Q45" s="378"/>
    </row>
    <row r="46" spans="1:17" ht="15" customHeight="1">
      <c r="A46" s="378"/>
      <c r="B46" s="378"/>
      <c r="C46" s="378"/>
      <c r="D46" s="378"/>
      <c r="E46" s="378"/>
      <c r="F46" s="379"/>
      <c r="G46" s="378"/>
      <c r="H46" s="378"/>
      <c r="I46" s="378"/>
      <c r="J46" s="378"/>
      <c r="K46" s="378"/>
      <c r="L46" s="378"/>
      <c r="M46" s="378"/>
      <c r="N46" s="378"/>
      <c r="O46" s="379"/>
      <c r="P46" s="378"/>
      <c r="Q46" s="378"/>
    </row>
    <row r="47" spans="1:17" ht="15" customHeight="1">
      <c r="A47" s="378"/>
      <c r="B47" s="31"/>
      <c r="C47" s="27"/>
      <c r="D47" s="27"/>
      <c r="E47" s="27"/>
      <c r="F47" s="27"/>
      <c r="G47" s="28"/>
      <c r="H47" s="28"/>
      <c r="I47" s="28"/>
      <c r="J47" s="28"/>
      <c r="K47" s="28"/>
      <c r="L47" s="28"/>
      <c r="M47" s="28"/>
      <c r="N47" s="28"/>
      <c r="O47" s="28"/>
      <c r="P47" s="28"/>
      <c r="Q47" s="378"/>
    </row>
    <row r="48" spans="1:17" ht="15" customHeight="1">
      <c r="A48" s="378"/>
      <c r="B48" s="27"/>
      <c r="C48" s="27"/>
      <c r="D48" s="27"/>
      <c r="E48" s="27"/>
      <c r="F48" s="27"/>
      <c r="G48" s="28"/>
      <c r="H48" s="28"/>
      <c r="I48" s="28"/>
      <c r="J48" s="28"/>
      <c r="K48" s="28"/>
      <c r="L48" s="28"/>
      <c r="M48" s="28"/>
      <c r="N48" s="28"/>
      <c r="O48" s="28"/>
      <c r="P48" s="28"/>
      <c r="Q48" s="378"/>
    </row>
    <row r="49" spans="1:17" ht="15" customHeight="1">
      <c r="A49" s="378"/>
      <c r="B49" s="27"/>
      <c r="C49" s="27"/>
      <c r="D49" s="27"/>
      <c r="E49" s="27"/>
      <c r="F49" s="27"/>
      <c r="G49" s="28"/>
      <c r="H49" s="28"/>
      <c r="I49" s="28"/>
      <c r="J49" s="28"/>
      <c r="K49" s="28"/>
      <c r="L49" s="28"/>
      <c r="M49" s="28"/>
      <c r="N49" s="28"/>
      <c r="O49" s="28"/>
      <c r="P49" s="28"/>
      <c r="Q49" s="378"/>
    </row>
    <row r="50" spans="1:17" ht="15" customHeight="1">
      <c r="A50" s="378"/>
      <c r="B50" s="378"/>
      <c r="C50" s="378"/>
      <c r="D50" s="378"/>
      <c r="E50" s="378"/>
      <c r="F50" s="379"/>
      <c r="G50" s="378"/>
      <c r="H50" s="378"/>
      <c r="I50" s="378"/>
      <c r="J50" s="378"/>
      <c r="K50" s="378"/>
      <c r="L50" s="378"/>
      <c r="M50" s="378"/>
      <c r="N50" s="378"/>
      <c r="O50" s="379"/>
      <c r="P50" s="378"/>
      <c r="Q50" s="378"/>
    </row>
    <row r="51" spans="1:17" ht="15" customHeight="1">
      <c r="A51" s="378"/>
      <c r="B51" s="378"/>
      <c r="C51" s="378"/>
      <c r="D51" s="378"/>
      <c r="E51" s="151"/>
      <c r="F51" s="151"/>
      <c r="G51" s="151"/>
      <c r="H51" s="378"/>
      <c r="I51" s="378"/>
      <c r="J51" s="378"/>
      <c r="K51" s="378"/>
      <c r="L51" s="378"/>
      <c r="M51" s="378"/>
      <c r="N51" s="151"/>
      <c r="O51" s="151"/>
      <c r="P51" s="151"/>
      <c r="Q51" s="378"/>
    </row>
    <row r="52" spans="1:17" ht="15" customHeight="1">
      <c r="A52" s="378"/>
      <c r="B52" s="652" t="s">
        <v>692</v>
      </c>
      <c r="C52" s="652"/>
      <c r="D52" s="652"/>
      <c r="E52" s="652"/>
      <c r="F52" s="652"/>
      <c r="G52" s="652"/>
      <c r="H52" s="550"/>
      <c r="I52" s="28"/>
      <c r="J52" s="28"/>
      <c r="K52" s="652" t="s">
        <v>692</v>
      </c>
      <c r="L52" s="652"/>
      <c r="M52" s="652"/>
      <c r="N52" s="652"/>
      <c r="O52" s="652"/>
      <c r="P52" s="652"/>
      <c r="Q52" s="378"/>
    </row>
    <row r="53" spans="1:17" ht="15" customHeight="1">
      <c r="A53" s="378"/>
      <c r="B53" s="27"/>
      <c r="C53" s="27"/>
      <c r="D53" s="27"/>
      <c r="E53" s="27"/>
      <c r="F53" s="27"/>
      <c r="G53" s="28"/>
      <c r="H53" s="28"/>
      <c r="I53" s="28"/>
      <c r="J53" s="28"/>
      <c r="K53" s="28"/>
      <c r="L53" s="28"/>
      <c r="M53" s="28"/>
      <c r="N53" s="28"/>
      <c r="O53" s="28"/>
      <c r="P53" s="28"/>
      <c r="Q53" s="378"/>
    </row>
    <row r="54" spans="1:17" ht="27.95" customHeight="1">
      <c r="A54" s="378"/>
      <c r="B54" s="782" t="str">
        <f>"DISTRIBUIÇÃO ESPACIAL DA TAXA DE INCIDÊNCIA MÉDIA ANUAL DE SIDA (/100000 HABITANTES) NA " &amp; UPPER(AUX!A2) &amp; " POR ACES/ULS, 2008-2012"</f>
        <v>DISTRIBUIÇÃO ESPACIAL DA TAXA DE INCIDÊNCIA MÉDIA ANUAL DE SIDA (/100000 HABITANTES) NA  POR ACES/ULS, 2008-2012</v>
      </c>
      <c r="C54" s="782"/>
      <c r="D54" s="782"/>
      <c r="E54" s="782"/>
      <c r="F54" s="782"/>
      <c r="G54" s="782"/>
      <c r="H54" s="28"/>
      <c r="I54" s="782" t="str">
        <f>"DISTRIBUIÇÃO ESPACIAL DA TAXA DE INCIDÊNCIA MÉDIA ANUAL DA INFEÇÃO VIH (/100000 HABITANTES) NA " &amp; UPPER(AUX!A2) &amp; " POR ACES/ULS, 2008-2012"</f>
        <v>DISTRIBUIÇÃO ESPACIAL DA TAXA DE INCIDÊNCIA MÉDIA ANUAL DA INFEÇÃO VIH (/100000 HABITANTES) NA  POR ACES/ULS, 2008-2012</v>
      </c>
      <c r="J54" s="782"/>
      <c r="K54" s="782"/>
      <c r="L54" s="782"/>
      <c r="M54" s="782"/>
      <c r="N54" s="782"/>
      <c r="O54" s="782"/>
      <c r="P54" s="782"/>
      <c r="Q54" s="378"/>
    </row>
    <row r="55" spans="1:17" ht="5.0999999999999996" customHeight="1">
      <c r="A55" s="378"/>
      <c r="B55" s="27"/>
      <c r="C55" s="27"/>
      <c r="D55" s="27"/>
      <c r="E55" s="27"/>
      <c r="F55" s="27"/>
      <c r="G55" s="28"/>
      <c r="H55" s="28"/>
      <c r="I55" s="28"/>
      <c r="J55" s="28"/>
      <c r="K55" s="28"/>
      <c r="L55" s="28"/>
      <c r="M55" s="28"/>
      <c r="N55" s="28"/>
      <c r="O55" s="28"/>
      <c r="P55" s="28"/>
      <c r="Q55" s="378"/>
    </row>
    <row r="56" spans="1:17" ht="15" customHeight="1">
      <c r="A56" s="378"/>
      <c r="B56" s="378"/>
      <c r="C56" s="378"/>
      <c r="D56" s="378"/>
      <c r="E56" s="378"/>
      <c r="F56" s="379"/>
      <c r="G56" s="378"/>
      <c r="H56" s="378"/>
      <c r="I56" s="378"/>
      <c r="J56" s="378"/>
      <c r="K56" s="378"/>
      <c r="L56" s="378"/>
      <c r="M56" s="378"/>
      <c r="N56" s="378"/>
      <c r="O56" s="379"/>
      <c r="P56" s="378"/>
      <c r="Q56" s="378"/>
    </row>
    <row r="57" spans="1:17" ht="15" customHeight="1">
      <c r="A57" s="378"/>
      <c r="B57" s="378"/>
      <c r="C57" s="378"/>
      <c r="D57" s="378"/>
      <c r="E57" s="378"/>
      <c r="F57" s="379"/>
      <c r="G57" s="378"/>
      <c r="H57" s="378"/>
      <c r="I57" s="378"/>
      <c r="J57" s="378"/>
      <c r="K57" s="378"/>
      <c r="L57" s="378"/>
      <c r="M57" s="378"/>
      <c r="N57" s="378"/>
      <c r="O57" s="379"/>
      <c r="P57" s="378"/>
      <c r="Q57" s="378"/>
    </row>
    <row r="58" spans="1:17" ht="15" customHeight="1">
      <c r="A58" s="378"/>
      <c r="B58" s="31"/>
      <c r="C58" s="27"/>
      <c r="D58" s="27"/>
      <c r="E58" s="27"/>
      <c r="F58" s="27"/>
      <c r="G58" s="28"/>
      <c r="H58" s="28"/>
      <c r="I58" s="28"/>
      <c r="J58" s="28"/>
      <c r="K58" s="28"/>
      <c r="L58" s="28"/>
      <c r="M58" s="28"/>
      <c r="N58" s="28"/>
      <c r="O58" s="28"/>
      <c r="P58" s="28"/>
      <c r="Q58" s="378"/>
    </row>
    <row r="59" spans="1:17" ht="15" customHeight="1">
      <c r="A59" s="378"/>
      <c r="B59" s="27"/>
      <c r="C59" s="27"/>
      <c r="D59" s="27"/>
      <c r="E59" s="27"/>
      <c r="F59" s="27"/>
      <c r="G59" s="28"/>
      <c r="H59" s="28"/>
      <c r="I59" s="28"/>
      <c r="J59" s="28"/>
      <c r="K59" s="28"/>
      <c r="L59" s="28"/>
      <c r="M59" s="28"/>
      <c r="N59" s="28"/>
      <c r="O59" s="28"/>
      <c r="P59" s="28"/>
      <c r="Q59" s="378"/>
    </row>
    <row r="60" spans="1:17" ht="15" customHeight="1">
      <c r="A60" s="378"/>
      <c r="B60" s="27"/>
      <c r="C60" s="27"/>
      <c r="D60" s="27"/>
      <c r="E60" s="27"/>
      <c r="F60" s="27"/>
      <c r="G60" s="28"/>
      <c r="H60" s="28"/>
      <c r="I60" s="28"/>
      <c r="J60" s="28"/>
      <c r="K60" s="28"/>
      <c r="L60" s="28"/>
      <c r="M60" s="28"/>
      <c r="N60" s="28"/>
      <c r="O60" s="28"/>
      <c r="P60" s="28"/>
      <c r="Q60" s="378"/>
    </row>
    <row r="61" spans="1:17" ht="15" customHeight="1">
      <c r="A61" s="378"/>
      <c r="B61" s="378"/>
      <c r="C61" s="378"/>
      <c r="D61" s="378"/>
      <c r="E61" s="378"/>
      <c r="F61" s="379"/>
      <c r="G61" s="378"/>
      <c r="H61" s="378"/>
      <c r="I61" s="378"/>
      <c r="J61" s="378"/>
      <c r="K61" s="378"/>
      <c r="L61" s="378"/>
      <c r="M61" s="378"/>
      <c r="N61" s="378"/>
      <c r="O61" s="379"/>
      <c r="P61" s="378"/>
      <c r="Q61" s="378"/>
    </row>
    <row r="62" spans="1:17" ht="15" customHeight="1">
      <c r="A62" s="378"/>
      <c r="B62" s="378"/>
      <c r="C62" s="378"/>
      <c r="D62" s="378"/>
      <c r="E62" s="378"/>
      <c r="F62" s="379"/>
      <c r="G62" s="378"/>
      <c r="H62" s="378"/>
      <c r="I62" s="378"/>
      <c r="J62" s="378"/>
      <c r="K62" s="378"/>
      <c r="L62" s="378"/>
      <c r="M62" s="378"/>
      <c r="N62" s="378"/>
      <c r="O62" s="379"/>
      <c r="P62" s="378"/>
      <c r="Q62" s="378"/>
    </row>
    <row r="63" spans="1:17" ht="15" customHeight="1">
      <c r="A63" s="378"/>
      <c r="B63" s="31"/>
      <c r="C63" s="27"/>
      <c r="D63" s="27"/>
      <c r="E63" s="27"/>
      <c r="F63" s="27"/>
      <c r="G63" s="28"/>
      <c r="H63" s="28"/>
      <c r="I63" s="28"/>
      <c r="J63" s="28"/>
      <c r="K63" s="28"/>
      <c r="L63" s="28"/>
      <c r="M63" s="28"/>
      <c r="N63" s="28"/>
      <c r="O63" s="28"/>
      <c r="P63" s="28"/>
      <c r="Q63" s="378"/>
    </row>
    <row r="64" spans="1:17" ht="15" customHeight="1">
      <c r="A64" s="378"/>
      <c r="B64" s="27"/>
      <c r="C64" s="27"/>
      <c r="D64" s="27"/>
      <c r="E64" s="27"/>
      <c r="F64" s="27"/>
      <c r="G64" s="28"/>
      <c r="H64" s="28"/>
      <c r="I64" s="28"/>
      <c r="J64" s="28"/>
      <c r="K64" s="28"/>
      <c r="L64" s="28"/>
      <c r="M64" s="28"/>
      <c r="N64" s="28"/>
      <c r="O64" s="28"/>
      <c r="P64" s="28"/>
      <c r="Q64" s="378"/>
    </row>
    <row r="65" spans="1:17" ht="15" customHeight="1">
      <c r="A65" s="378"/>
      <c r="B65" s="27"/>
      <c r="C65" s="27"/>
      <c r="D65" s="27"/>
      <c r="E65" s="27"/>
      <c r="F65" s="27"/>
      <c r="G65" s="28"/>
      <c r="H65" s="28"/>
      <c r="I65" s="28"/>
      <c r="J65" s="28"/>
      <c r="K65" s="28"/>
      <c r="L65" s="28"/>
      <c r="M65" s="28"/>
      <c r="N65" s="28"/>
      <c r="O65" s="28"/>
      <c r="P65" s="28"/>
      <c r="Q65" s="378"/>
    </row>
    <row r="66" spans="1:17" ht="15" customHeight="1">
      <c r="A66" s="378"/>
      <c r="B66" s="378"/>
      <c r="C66" s="378"/>
      <c r="D66" s="378"/>
      <c r="E66" s="378"/>
      <c r="F66" s="379"/>
      <c r="G66" s="378"/>
      <c r="H66" s="378"/>
      <c r="I66" s="378"/>
      <c r="J66" s="378"/>
      <c r="K66" s="378"/>
      <c r="L66" s="378"/>
      <c r="M66" s="378"/>
      <c r="N66" s="378"/>
      <c r="O66" s="379"/>
      <c r="P66" s="378"/>
      <c r="Q66" s="378"/>
    </row>
    <row r="67" spans="1:17" ht="15" customHeight="1">
      <c r="A67" s="378"/>
      <c r="B67" s="378"/>
      <c r="C67" s="378"/>
      <c r="D67" s="378"/>
      <c r="E67" s="378"/>
      <c r="F67" s="379"/>
      <c r="G67" s="378"/>
      <c r="H67" s="378"/>
      <c r="I67" s="378"/>
      <c r="J67" s="378"/>
      <c r="K67" s="378"/>
      <c r="L67" s="378"/>
      <c r="M67" s="378"/>
      <c r="N67" s="378"/>
      <c r="O67" s="379"/>
      <c r="P67" s="378"/>
      <c r="Q67" s="378"/>
    </row>
    <row r="68" spans="1:17" ht="15" customHeight="1">
      <c r="A68" s="378"/>
      <c r="B68" s="31"/>
      <c r="C68" s="27"/>
      <c r="D68" s="27"/>
      <c r="E68" s="27"/>
      <c r="F68" s="27"/>
      <c r="G68" s="28"/>
      <c r="H68" s="28"/>
      <c r="I68" s="28"/>
      <c r="J68" s="28"/>
      <c r="K68" s="28"/>
      <c r="L68" s="28"/>
      <c r="M68" s="28"/>
      <c r="N68" s="28"/>
      <c r="O68" s="28"/>
      <c r="P68" s="28"/>
      <c r="Q68" s="378"/>
    </row>
    <row r="69" spans="1:17" ht="15" customHeight="1">
      <c r="A69" s="378"/>
      <c r="B69" s="27"/>
      <c r="C69" s="27"/>
      <c r="D69" s="27"/>
      <c r="E69" s="27"/>
      <c r="F69" s="27"/>
      <c r="G69" s="28"/>
      <c r="H69" s="28"/>
      <c r="I69" s="28"/>
      <c r="J69" s="28"/>
      <c r="K69" s="28"/>
      <c r="L69" s="28"/>
      <c r="M69" s="28"/>
      <c r="N69" s="28"/>
      <c r="O69" s="28"/>
      <c r="P69" s="28"/>
      <c r="Q69" s="378"/>
    </row>
    <row r="70" spans="1:17" ht="5.0999999999999996" customHeight="1">
      <c r="A70" s="378"/>
      <c r="B70" s="27"/>
      <c r="C70" s="27"/>
      <c r="D70" s="27"/>
      <c r="E70" s="27"/>
      <c r="F70" s="27"/>
      <c r="G70" s="28"/>
      <c r="H70" s="28"/>
      <c r="I70" s="28"/>
      <c r="J70" s="28"/>
      <c r="K70" s="28"/>
      <c r="L70" s="28"/>
      <c r="M70" s="28"/>
      <c r="N70" s="28"/>
      <c r="O70" s="28"/>
      <c r="P70" s="28"/>
      <c r="Q70" s="378"/>
    </row>
    <row r="71" spans="1:17" ht="12" customHeight="1">
      <c r="A71" s="378"/>
      <c r="B71" s="27"/>
      <c r="C71" s="27"/>
      <c r="D71" s="27"/>
      <c r="E71" s="854" t="s">
        <v>250</v>
      </c>
      <c r="F71" s="854"/>
      <c r="G71" s="854"/>
      <c r="H71" s="28"/>
      <c r="I71" s="28"/>
      <c r="J71" s="28"/>
      <c r="K71" s="28"/>
      <c r="L71" s="28"/>
      <c r="M71" s="28"/>
      <c r="N71" s="854" t="s">
        <v>250</v>
      </c>
      <c r="O71" s="854"/>
      <c r="P71" s="854"/>
      <c r="Q71" s="378"/>
    </row>
    <row r="72" spans="1:17" ht="12" customHeight="1">
      <c r="A72" s="378"/>
      <c r="B72" s="378"/>
      <c r="C72" s="378"/>
      <c r="D72" s="378"/>
      <c r="E72" s="505"/>
      <c r="F72" s="855" t="s">
        <v>453</v>
      </c>
      <c r="G72" s="855"/>
      <c r="H72" s="378"/>
      <c r="I72" s="378"/>
      <c r="J72" s="378"/>
      <c r="K72" s="378"/>
      <c r="L72" s="378"/>
      <c r="M72" s="378"/>
      <c r="N72" s="505"/>
      <c r="O72" s="855" t="s">
        <v>452</v>
      </c>
      <c r="P72" s="855"/>
      <c r="Q72" s="378"/>
    </row>
    <row r="73" spans="1:17" ht="12" customHeight="1">
      <c r="A73" s="378"/>
      <c r="B73" s="378"/>
      <c r="C73" s="378"/>
      <c r="D73" s="378"/>
      <c r="E73" s="506"/>
      <c r="F73" s="855" t="s">
        <v>251</v>
      </c>
      <c r="G73" s="855"/>
      <c r="H73" s="378"/>
      <c r="I73" s="378"/>
      <c r="J73" s="378"/>
      <c r="K73" s="378"/>
      <c r="L73" s="378"/>
      <c r="M73" s="378"/>
      <c r="N73" s="506"/>
      <c r="O73" s="855" t="s">
        <v>253</v>
      </c>
      <c r="P73" s="855"/>
      <c r="Q73" s="378"/>
    </row>
    <row r="74" spans="1:17" ht="12" customHeight="1">
      <c r="A74" s="378"/>
      <c r="B74" s="31"/>
      <c r="C74" s="27"/>
      <c r="D74" s="27"/>
      <c r="E74" s="507"/>
      <c r="F74" s="855" t="s">
        <v>252</v>
      </c>
      <c r="G74" s="855"/>
      <c r="H74" s="28"/>
      <c r="I74" s="28"/>
      <c r="J74" s="28"/>
      <c r="K74" s="28"/>
      <c r="L74" s="28"/>
      <c r="M74" s="28"/>
      <c r="N74" s="507"/>
      <c r="O74" s="855" t="s">
        <v>450</v>
      </c>
      <c r="P74" s="855"/>
      <c r="Q74" s="378"/>
    </row>
    <row r="75" spans="1:17" ht="12" customHeight="1">
      <c r="A75" s="378"/>
      <c r="B75" s="27"/>
      <c r="C75" s="27"/>
      <c r="D75" s="27"/>
      <c r="E75" s="508"/>
      <c r="F75" s="855" t="s">
        <v>454</v>
      </c>
      <c r="G75" s="855"/>
      <c r="H75" s="28"/>
      <c r="I75" s="28"/>
      <c r="J75" s="28"/>
      <c r="K75" s="28"/>
      <c r="L75" s="28"/>
      <c r="M75" s="28"/>
      <c r="N75" s="508"/>
      <c r="O75" s="855" t="s">
        <v>451</v>
      </c>
      <c r="P75" s="855"/>
      <c r="Q75" s="378"/>
    </row>
    <row r="76" spans="1:17" ht="15" customHeight="1">
      <c r="A76" s="378"/>
      <c r="B76" s="27"/>
      <c r="C76" s="27"/>
      <c r="D76" s="27"/>
      <c r="E76" s="27"/>
      <c r="F76" s="27"/>
      <c r="G76" s="28"/>
      <c r="H76" s="28"/>
      <c r="I76" s="28"/>
      <c r="J76" s="28"/>
      <c r="K76" s="28"/>
      <c r="L76" s="28"/>
      <c r="M76" s="28"/>
      <c r="N76" s="28"/>
      <c r="O76" s="28"/>
      <c r="P76" s="28"/>
      <c r="Q76" s="378"/>
    </row>
    <row r="77" spans="1:17" ht="15" customHeight="1">
      <c r="A77" s="378"/>
      <c r="B77" s="155" t="s">
        <v>28</v>
      </c>
      <c r="C77" s="378"/>
      <c r="D77" s="378"/>
      <c r="E77" s="378"/>
      <c r="F77" s="379"/>
      <c r="G77" s="378"/>
      <c r="H77" s="378"/>
      <c r="I77" s="378"/>
      <c r="J77" s="378"/>
      <c r="K77" s="378"/>
      <c r="L77" s="378"/>
      <c r="M77" s="378"/>
      <c r="N77" s="378"/>
      <c r="O77" s="379"/>
      <c r="P77" s="378"/>
      <c r="Q77" s="378"/>
    </row>
    <row r="78" spans="1:17" ht="20.100000000000001" customHeight="1">
      <c r="A78" s="378"/>
      <c r="B78" s="378"/>
      <c r="C78" s="378"/>
      <c r="D78" s="378"/>
      <c r="E78" s="378"/>
      <c r="F78" s="379"/>
      <c r="G78" s="378"/>
      <c r="H78" s="378"/>
      <c r="I78" s="378"/>
      <c r="J78" s="378"/>
      <c r="K78" s="378"/>
      <c r="L78" s="378"/>
      <c r="M78" s="378"/>
      <c r="N78" s="378"/>
      <c r="O78" s="379"/>
      <c r="P78" s="378"/>
      <c r="Q78" s="378"/>
    </row>
    <row r="79" spans="1:17" ht="20.100000000000001" customHeight="1" thickBot="1">
      <c r="A79" s="378"/>
      <c r="B79" s="785" t="s">
        <v>29</v>
      </c>
      <c r="C79" s="785"/>
      <c r="D79" s="785"/>
      <c r="E79" s="785"/>
      <c r="F79" s="785"/>
      <c r="G79" s="785"/>
      <c r="H79" s="785"/>
      <c r="I79" s="785"/>
      <c r="J79" s="785"/>
      <c r="K79" s="785"/>
      <c r="L79" s="785"/>
      <c r="M79" s="785"/>
      <c r="N79" s="785"/>
      <c r="O79" s="785"/>
      <c r="P79" s="785"/>
      <c r="Q79" s="378"/>
    </row>
    <row r="80" spans="1:17" ht="9.9499999999999993" customHeight="1">
      <c r="A80" s="378"/>
      <c r="B80" s="378"/>
      <c r="C80" s="378"/>
      <c r="D80" s="378"/>
      <c r="E80" s="378"/>
      <c r="F80" s="379"/>
      <c r="G80" s="378"/>
      <c r="H80" s="378"/>
      <c r="I80" s="378"/>
      <c r="J80" s="378"/>
      <c r="K80" s="378"/>
      <c r="L80" s="378"/>
      <c r="M80" s="378"/>
      <c r="N80" s="378"/>
      <c r="O80" s="379"/>
      <c r="P80" s="378"/>
      <c r="Q80" s="378"/>
    </row>
    <row r="81" spans="1:17" ht="15.95" customHeight="1">
      <c r="A81" s="553"/>
      <c r="B81" s="784" t="s">
        <v>552</v>
      </c>
      <c r="C81" s="784"/>
      <c r="D81" s="784"/>
      <c r="E81" s="784"/>
      <c r="F81" s="784"/>
      <c r="G81" s="784"/>
      <c r="H81" s="784"/>
      <c r="I81" s="784"/>
      <c r="J81" s="784"/>
      <c r="K81" s="784"/>
      <c r="L81" s="784"/>
      <c r="M81" s="784"/>
      <c r="N81" s="784"/>
      <c r="O81" s="784"/>
      <c r="P81" s="784"/>
      <c r="Q81" s="553"/>
    </row>
    <row r="82" spans="1:17" ht="5.0999999999999996" customHeight="1">
      <c r="A82" s="553"/>
      <c r="B82" s="27"/>
      <c r="C82" s="27"/>
      <c r="D82" s="27"/>
      <c r="E82" s="27"/>
      <c r="F82" s="27"/>
      <c r="G82" s="27"/>
      <c r="H82" s="27"/>
      <c r="I82" s="27"/>
      <c r="J82" s="27"/>
      <c r="K82" s="27"/>
      <c r="L82" s="27"/>
      <c r="M82" s="27"/>
      <c r="N82" s="27"/>
      <c r="O82" s="27"/>
      <c r="P82" s="27"/>
      <c r="Q82" s="553"/>
    </row>
    <row r="83" spans="1:17" ht="20.100000000000001" customHeight="1">
      <c r="A83" s="553"/>
      <c r="B83" s="115"/>
      <c r="C83" s="116">
        <v>2001</v>
      </c>
      <c r="D83" s="116">
        <v>2002</v>
      </c>
      <c r="E83" s="846">
        <v>2003</v>
      </c>
      <c r="F83" s="847"/>
      <c r="G83" s="116">
        <v>2004</v>
      </c>
      <c r="H83" s="116">
        <v>2005</v>
      </c>
      <c r="I83" s="116">
        <v>2006</v>
      </c>
      <c r="J83" s="558">
        <v>2007</v>
      </c>
      <c r="K83" s="562" t="s">
        <v>121</v>
      </c>
      <c r="L83" s="116">
        <v>2009</v>
      </c>
      <c r="M83" s="116">
        <v>2010</v>
      </c>
      <c r="N83" s="841" t="s">
        <v>439</v>
      </c>
      <c r="O83" s="841"/>
      <c r="P83" s="116">
        <v>2012</v>
      </c>
      <c r="Q83" s="553"/>
    </row>
    <row r="84" spans="1:17" ht="15.95" customHeight="1">
      <c r="A84" s="553"/>
      <c r="B84" s="554" t="s">
        <v>16</v>
      </c>
      <c r="C84" s="138">
        <f>AUX!C426</f>
        <v>43.059645000974719</v>
      </c>
      <c r="D84" s="138">
        <f>AUX!D426</f>
        <v>44.403783508587921</v>
      </c>
      <c r="E84" s="848">
        <f>AUX!E426</f>
        <v>40.922928985619258</v>
      </c>
      <c r="F84" s="849"/>
      <c r="G84" s="138">
        <f>AUX!F426</f>
        <v>37.518014105210888</v>
      </c>
      <c r="H84" s="138">
        <f>AUX!G426</f>
        <v>34.896323672301122</v>
      </c>
      <c r="I84" s="138">
        <f>AUX!H426</f>
        <v>33.313234248839976</v>
      </c>
      <c r="J84" s="138">
        <f>AUX!I426</f>
        <v>30.573972520695477</v>
      </c>
      <c r="K84" s="138">
        <f>AUX!J426</f>
        <v>28.893153357751679</v>
      </c>
      <c r="L84" s="138">
        <f>AUX!K426</f>
        <v>27.875195103989991</v>
      </c>
      <c r="M84" s="138">
        <f>AUX!L426</f>
        <v>26.652930283897447</v>
      </c>
      <c r="N84" s="842">
        <f>AUX!M426</f>
        <v>25.446803710713446</v>
      </c>
      <c r="O84" s="843"/>
      <c r="P84" s="138">
        <f>AUX!N426</f>
        <v>25.580257758832548</v>
      </c>
      <c r="Q84" s="553"/>
    </row>
    <row r="85" spans="1:17" ht="15.95" customHeight="1">
      <c r="A85" s="553"/>
      <c r="B85" s="555">
        <f>AUX!A2</f>
        <v>0</v>
      </c>
      <c r="C85" s="140">
        <f>AUX!C427</f>
        <v>0</v>
      </c>
      <c r="D85" s="140">
        <f>AUX!D427</f>
        <v>0</v>
      </c>
      <c r="E85" s="850">
        <f>AUX!E427</f>
        <v>0</v>
      </c>
      <c r="F85" s="851"/>
      <c r="G85" s="140">
        <f>AUX!F427</f>
        <v>0</v>
      </c>
      <c r="H85" s="140">
        <f>AUX!G427</f>
        <v>0</v>
      </c>
      <c r="I85" s="140">
        <f>AUX!H427</f>
        <v>0</v>
      </c>
      <c r="J85" s="140">
        <f>AUX!I427</f>
        <v>0</v>
      </c>
      <c r="K85" s="140">
        <f>AUX!J427</f>
        <v>0</v>
      </c>
      <c r="L85" s="140">
        <f>AUX!K427</f>
        <v>0</v>
      </c>
      <c r="M85" s="140">
        <f>AUX!L427</f>
        <v>0</v>
      </c>
      <c r="N85" s="844">
        <f>AUX!M427</f>
        <v>0</v>
      </c>
      <c r="O85" s="845"/>
      <c r="P85" s="140">
        <f>AUX!N427</f>
        <v>0</v>
      </c>
      <c r="Q85" s="553"/>
    </row>
    <row r="86" spans="1:17" ht="15.95" customHeight="1">
      <c r="A86" s="553"/>
      <c r="B86" s="556">
        <f>AUX!A3</f>
        <v>0</v>
      </c>
      <c r="C86" s="119">
        <f>AUX!C428</f>
        <v>0</v>
      </c>
      <c r="D86" s="119">
        <f>AUX!D428</f>
        <v>0</v>
      </c>
      <c r="E86" s="837">
        <f>AUX!E428</f>
        <v>0</v>
      </c>
      <c r="F86" s="838"/>
      <c r="G86" s="119">
        <f>AUX!F428</f>
        <v>0</v>
      </c>
      <c r="H86" s="119">
        <f>AUX!G428</f>
        <v>0</v>
      </c>
      <c r="I86" s="119">
        <f>AUX!H428</f>
        <v>0</v>
      </c>
      <c r="J86" s="119">
        <f>AUX!I428</f>
        <v>0</v>
      </c>
      <c r="K86" s="119">
        <f>AUX!J428</f>
        <v>0</v>
      </c>
      <c r="L86" s="119">
        <f>AUX!K428</f>
        <v>0</v>
      </c>
      <c r="M86" s="119">
        <f>AUX!L428</f>
        <v>0</v>
      </c>
      <c r="N86" s="839">
        <f>AUX!M428</f>
        <v>0</v>
      </c>
      <c r="O86" s="840"/>
      <c r="P86" s="119">
        <f>AUX!N428</f>
        <v>0</v>
      </c>
      <c r="Q86" s="553"/>
    </row>
    <row r="87" spans="1:17" ht="15" customHeight="1">
      <c r="A87" s="553"/>
      <c r="B87" s="836"/>
      <c r="C87" s="836"/>
      <c r="D87" s="836"/>
      <c r="E87" s="836"/>
      <c r="F87" s="836"/>
      <c r="G87" s="836"/>
      <c r="H87" s="836"/>
      <c r="I87" s="836"/>
      <c r="J87" s="552"/>
      <c r="K87" s="651" t="s">
        <v>691</v>
      </c>
      <c r="L87" s="651"/>
      <c r="M87" s="651"/>
      <c r="N87" s="651"/>
      <c r="O87" s="651"/>
      <c r="P87" s="651"/>
      <c r="Q87" s="553"/>
    </row>
    <row r="88" spans="1:17" ht="15" customHeight="1">
      <c r="A88" s="553"/>
      <c r="B88" s="27"/>
      <c r="C88" s="27"/>
      <c r="D88" s="27"/>
      <c r="E88" s="27"/>
      <c r="F88" s="27"/>
      <c r="G88" s="28"/>
      <c r="H88" s="28"/>
      <c r="I88" s="28"/>
      <c r="J88" s="28"/>
      <c r="K88" s="28"/>
      <c r="L88" s="28"/>
      <c r="M88" s="28"/>
      <c r="N88" s="28"/>
      <c r="O88" s="28"/>
      <c r="P88" s="28"/>
      <c r="Q88" s="553"/>
    </row>
    <row r="89" spans="1:17" ht="15.95" customHeight="1">
      <c r="A89" s="378"/>
      <c r="B89" s="784" t="s">
        <v>463</v>
      </c>
      <c r="C89" s="784"/>
      <c r="D89" s="784"/>
      <c r="E89" s="784"/>
      <c r="F89" s="784"/>
      <c r="G89" s="784"/>
      <c r="H89" s="784"/>
      <c r="I89" s="784"/>
      <c r="J89" s="784"/>
      <c r="K89" s="784"/>
      <c r="L89" s="784"/>
      <c r="M89" s="784"/>
      <c r="N89" s="784"/>
      <c r="O89" s="784"/>
      <c r="P89" s="784"/>
      <c r="Q89" s="378"/>
    </row>
    <row r="90" spans="1:17" ht="5.0999999999999996" customHeight="1">
      <c r="A90" s="378"/>
      <c r="B90" s="27"/>
      <c r="C90" s="27"/>
      <c r="D90" s="27"/>
      <c r="E90" s="27"/>
      <c r="F90" s="27"/>
      <c r="G90" s="27"/>
      <c r="H90" s="27"/>
      <c r="I90" s="27"/>
      <c r="J90" s="27"/>
      <c r="K90" s="27"/>
      <c r="L90" s="27"/>
      <c r="M90" s="27"/>
      <c r="N90" s="27"/>
      <c r="O90" s="27"/>
      <c r="P90" s="27"/>
      <c r="Q90" s="378"/>
    </row>
    <row r="91" spans="1:17" ht="20.100000000000001" customHeight="1">
      <c r="A91" s="378"/>
      <c r="B91" s="115"/>
      <c r="C91" s="116">
        <v>2001</v>
      </c>
      <c r="D91" s="116">
        <v>2002</v>
      </c>
      <c r="E91" s="846">
        <v>2003</v>
      </c>
      <c r="F91" s="847"/>
      <c r="G91" s="116">
        <v>2004</v>
      </c>
      <c r="H91" s="116">
        <v>2005</v>
      </c>
      <c r="I91" s="116">
        <v>2006</v>
      </c>
      <c r="J91" s="502">
        <v>2007</v>
      </c>
      <c r="K91" s="501" t="s">
        <v>121</v>
      </c>
      <c r="L91" s="116">
        <v>2009</v>
      </c>
      <c r="M91" s="116">
        <v>2010</v>
      </c>
      <c r="N91" s="841" t="s">
        <v>439</v>
      </c>
      <c r="O91" s="841"/>
      <c r="P91" s="116">
        <v>2012</v>
      </c>
      <c r="Q91" s="378"/>
    </row>
    <row r="92" spans="1:17" ht="15.95" customHeight="1">
      <c r="A92" s="378"/>
      <c r="B92" s="498" t="s">
        <v>16</v>
      </c>
      <c r="C92" s="138">
        <f>AUX!C419</f>
        <v>38.94811727980921</v>
      </c>
      <c r="D92" s="138">
        <f>AUX!D419</f>
        <v>40.747119848511375</v>
      </c>
      <c r="E92" s="848">
        <f>AUX!E419</f>
        <v>37.550325566642542</v>
      </c>
      <c r="F92" s="849"/>
      <c r="G92" s="138">
        <f>AUX!F419</f>
        <v>34.793801655499905</v>
      </c>
      <c r="H92" s="138">
        <f>AUX!G419</f>
        <v>32.436582806001383</v>
      </c>
      <c r="I92" s="138">
        <f>AUX!H419</f>
        <v>30.81748700214834</v>
      </c>
      <c r="J92" s="138">
        <f>AUX!I419</f>
        <v>28.132439513012823</v>
      </c>
      <c r="K92" s="138">
        <f>AUX!J419</f>
        <v>26.663712657739147</v>
      </c>
      <c r="L92" s="138">
        <f>AUX!K419</f>
        <v>25.866351218508019</v>
      </c>
      <c r="M92" s="138">
        <f>AUX!L419</f>
        <v>24.754120256212104</v>
      </c>
      <c r="N92" s="842">
        <f>AUX!M419</f>
        <v>23.724465274894424</v>
      </c>
      <c r="O92" s="843"/>
      <c r="P92" s="138">
        <f>AUX!N419</f>
        <v>23.581019168849544</v>
      </c>
      <c r="Q92" s="378"/>
    </row>
    <row r="93" spans="1:17" ht="15.95" customHeight="1">
      <c r="A93" s="378"/>
      <c r="B93" s="380">
        <f>AUX!A2</f>
        <v>0</v>
      </c>
      <c r="C93" s="140">
        <f>AUX!C420</f>
        <v>0</v>
      </c>
      <c r="D93" s="140">
        <f>AUX!D420</f>
        <v>0</v>
      </c>
      <c r="E93" s="850">
        <f>AUX!E420</f>
        <v>0</v>
      </c>
      <c r="F93" s="851"/>
      <c r="G93" s="140">
        <f>AUX!F420</f>
        <v>0</v>
      </c>
      <c r="H93" s="140">
        <f>AUX!G420</f>
        <v>0</v>
      </c>
      <c r="I93" s="140">
        <f>AUX!H420</f>
        <v>0</v>
      </c>
      <c r="J93" s="140">
        <f>AUX!I420</f>
        <v>0</v>
      </c>
      <c r="K93" s="140">
        <f>AUX!J420</f>
        <v>0</v>
      </c>
      <c r="L93" s="140">
        <f>AUX!K420</f>
        <v>0</v>
      </c>
      <c r="M93" s="140">
        <f>AUX!L420</f>
        <v>0</v>
      </c>
      <c r="N93" s="844">
        <f>AUX!M420</f>
        <v>0</v>
      </c>
      <c r="O93" s="845"/>
      <c r="P93" s="140">
        <f>AUX!N420</f>
        <v>0</v>
      </c>
      <c r="Q93" s="378"/>
    </row>
    <row r="94" spans="1:17" ht="15.95" customHeight="1">
      <c r="A94" s="378"/>
      <c r="B94" s="381">
        <f>AUX!A3</f>
        <v>0</v>
      </c>
      <c r="C94" s="119">
        <f>AUX!C421</f>
        <v>0</v>
      </c>
      <c r="D94" s="119">
        <f>AUX!D421</f>
        <v>0</v>
      </c>
      <c r="E94" s="837">
        <f>AUX!E421</f>
        <v>0</v>
      </c>
      <c r="F94" s="838"/>
      <c r="G94" s="119">
        <f>AUX!F421</f>
        <v>0</v>
      </c>
      <c r="H94" s="119">
        <f>AUX!G421</f>
        <v>0</v>
      </c>
      <c r="I94" s="119">
        <f>AUX!H421</f>
        <v>0</v>
      </c>
      <c r="J94" s="119">
        <f>AUX!I421</f>
        <v>0</v>
      </c>
      <c r="K94" s="119">
        <f>AUX!J421</f>
        <v>0</v>
      </c>
      <c r="L94" s="119">
        <f>AUX!K421</f>
        <v>0</v>
      </c>
      <c r="M94" s="119">
        <f>AUX!L421</f>
        <v>0</v>
      </c>
      <c r="N94" s="839">
        <f>AUX!M421</f>
        <v>0</v>
      </c>
      <c r="O94" s="840"/>
      <c r="P94" s="119">
        <f>AUX!N421</f>
        <v>0</v>
      </c>
      <c r="Q94" s="378"/>
    </row>
    <row r="95" spans="1:17" ht="15" customHeight="1">
      <c r="A95" s="378"/>
      <c r="B95" s="836"/>
      <c r="C95" s="836"/>
      <c r="D95" s="836"/>
      <c r="E95" s="836"/>
      <c r="F95" s="836"/>
      <c r="G95" s="836"/>
      <c r="H95" s="836"/>
      <c r="I95" s="836"/>
      <c r="J95" s="552"/>
      <c r="K95" s="651" t="s">
        <v>691</v>
      </c>
      <c r="L95" s="651"/>
      <c r="M95" s="651"/>
      <c r="N95" s="651"/>
      <c r="O95" s="651"/>
      <c r="P95" s="651"/>
      <c r="Q95" s="378"/>
    </row>
    <row r="96" spans="1:17" ht="15" customHeight="1">
      <c r="A96" s="378"/>
      <c r="B96" s="27"/>
      <c r="C96" s="27"/>
      <c r="D96" s="27"/>
      <c r="E96" s="27"/>
      <c r="F96" s="27"/>
      <c r="G96" s="28"/>
      <c r="H96" s="28"/>
      <c r="I96" s="28"/>
      <c r="J96" s="28"/>
      <c r="K96" s="28"/>
      <c r="L96" s="28"/>
      <c r="M96" s="28"/>
      <c r="N96" s="28"/>
      <c r="O96" s="28"/>
      <c r="P96" s="28"/>
      <c r="Q96" s="378"/>
    </row>
    <row r="97" spans="1:17" ht="24" customHeight="1">
      <c r="A97" s="379"/>
      <c r="B97" s="782" t="s">
        <v>449</v>
      </c>
      <c r="C97" s="782"/>
      <c r="D97" s="782"/>
      <c r="E97" s="782"/>
      <c r="F97" s="782"/>
      <c r="G97" s="782"/>
      <c r="I97" s="782" t="str">
        <f>"DISTRIBUIÇÃO ESPACIAL DA TAXA DE INCIDÊNCIA MÉDIA ANUAL DE TUBERCULOSE (/100000 HABITANTES) NA " &amp; UPPER(AUX!A2) &amp; " POR ACES/ULS, 2008-2012"</f>
        <v>DISTRIBUIÇÃO ESPACIAL DA TAXA DE INCIDÊNCIA MÉDIA ANUAL DE TUBERCULOSE (/100000 HABITANTES) NA  POR ACES/ULS, 2008-2012</v>
      </c>
      <c r="J97" s="782"/>
      <c r="K97" s="782"/>
      <c r="L97" s="782"/>
      <c r="M97" s="782"/>
      <c r="N97" s="782"/>
      <c r="O97" s="782"/>
      <c r="P97" s="782"/>
      <c r="Q97" s="379"/>
    </row>
    <row r="98" spans="1:17" ht="5.0999999999999996" customHeight="1">
      <c r="A98" s="379"/>
      <c r="B98" s="379"/>
      <c r="C98" s="379"/>
      <c r="D98" s="379"/>
      <c r="E98" s="379"/>
      <c r="F98" s="379"/>
      <c r="G98" s="379"/>
      <c r="H98" s="379"/>
      <c r="I98" s="379"/>
      <c r="J98" s="379"/>
      <c r="K98" s="379"/>
      <c r="L98" s="379"/>
      <c r="M98" s="379"/>
      <c r="N98" s="379"/>
      <c r="O98" s="379"/>
      <c r="P98" s="379"/>
      <c r="Q98" s="379"/>
    </row>
    <row r="99" spans="1:17" ht="15" customHeight="1">
      <c r="A99" s="379"/>
      <c r="B99" s="27"/>
      <c r="C99" s="27"/>
      <c r="D99" s="27"/>
      <c r="E99" s="27"/>
      <c r="F99" s="27"/>
      <c r="G99" s="28"/>
      <c r="H99" s="28"/>
      <c r="I99" s="28"/>
      <c r="J99" s="28"/>
      <c r="K99" s="28"/>
      <c r="L99" s="28"/>
      <c r="M99" s="28"/>
      <c r="N99" s="28"/>
      <c r="O99" s="28"/>
      <c r="P99" s="28"/>
      <c r="Q99" s="379"/>
    </row>
    <row r="100" spans="1:17" ht="15" customHeight="1">
      <c r="A100" s="379"/>
      <c r="B100" s="27"/>
      <c r="C100" s="27"/>
      <c r="D100" s="27"/>
      <c r="E100" s="27"/>
      <c r="F100" s="27"/>
      <c r="G100" s="28"/>
      <c r="H100" s="28"/>
      <c r="I100" s="28"/>
      <c r="J100" s="28"/>
      <c r="K100" s="28"/>
      <c r="L100" s="28"/>
      <c r="M100" s="28"/>
      <c r="N100" s="28"/>
      <c r="O100" s="28"/>
      <c r="P100" s="28"/>
      <c r="Q100" s="379"/>
    </row>
    <row r="101" spans="1:17" ht="15" customHeight="1">
      <c r="A101" s="379"/>
      <c r="B101" s="27"/>
      <c r="C101" s="27"/>
      <c r="D101" s="27"/>
      <c r="E101" s="27"/>
      <c r="F101" s="27"/>
      <c r="G101" s="28"/>
      <c r="H101" s="28"/>
      <c r="I101" s="28"/>
      <c r="J101" s="28"/>
      <c r="K101" s="28"/>
      <c r="L101" s="28"/>
      <c r="M101" s="28"/>
      <c r="N101" s="28"/>
      <c r="O101" s="28"/>
      <c r="P101" s="28"/>
      <c r="Q101" s="379"/>
    </row>
    <row r="102" spans="1:17" ht="15" customHeight="1">
      <c r="A102" s="379"/>
      <c r="B102" s="27"/>
      <c r="C102" s="27"/>
      <c r="D102" s="27"/>
      <c r="E102" s="27"/>
      <c r="F102" s="27"/>
      <c r="G102" s="28"/>
      <c r="H102" s="28"/>
      <c r="I102" s="28"/>
      <c r="J102" s="28"/>
      <c r="K102" s="28"/>
      <c r="L102" s="28"/>
      <c r="M102" s="28"/>
      <c r="N102" s="28"/>
      <c r="O102" s="28"/>
      <c r="P102" s="28"/>
      <c r="Q102" s="379"/>
    </row>
    <row r="103" spans="1:17" ht="15" customHeight="1">
      <c r="A103" s="379"/>
      <c r="B103" s="27"/>
      <c r="C103" s="27"/>
      <c r="D103" s="27"/>
      <c r="E103" s="27"/>
      <c r="F103" s="27"/>
      <c r="G103" s="28"/>
      <c r="H103" s="28"/>
      <c r="I103" s="28"/>
      <c r="J103" s="28"/>
      <c r="K103" s="28"/>
      <c r="L103" s="28"/>
      <c r="M103" s="28"/>
      <c r="N103" s="28"/>
      <c r="O103" s="28"/>
      <c r="P103" s="28"/>
      <c r="Q103" s="379"/>
    </row>
    <row r="104" spans="1:17" ht="15" customHeight="1">
      <c r="A104" s="379"/>
      <c r="B104" s="27"/>
      <c r="C104" s="27"/>
      <c r="D104" s="27"/>
      <c r="E104" s="27"/>
      <c r="F104" s="27"/>
      <c r="G104" s="28"/>
      <c r="H104" s="28"/>
      <c r="I104" s="28"/>
      <c r="J104" s="28"/>
      <c r="K104" s="28"/>
      <c r="L104" s="28"/>
      <c r="M104" s="28"/>
      <c r="N104" s="28"/>
      <c r="O104" s="28"/>
      <c r="P104" s="28"/>
      <c r="Q104" s="379"/>
    </row>
    <row r="105" spans="1:17" ht="15" customHeight="1">
      <c r="A105" s="379"/>
      <c r="B105" s="27"/>
      <c r="C105" s="27"/>
      <c r="D105" s="27"/>
      <c r="E105" s="27"/>
      <c r="F105" s="27"/>
      <c r="G105" s="28"/>
      <c r="H105" s="28"/>
      <c r="I105" s="28"/>
      <c r="J105" s="28"/>
      <c r="K105" s="28"/>
      <c r="L105" s="28"/>
      <c r="M105" s="28"/>
      <c r="N105" s="28"/>
      <c r="O105" s="28"/>
      <c r="P105" s="28"/>
      <c r="Q105" s="379"/>
    </row>
    <row r="106" spans="1:17" ht="15" customHeight="1">
      <c r="A106" s="379"/>
      <c r="B106" s="27"/>
      <c r="C106" s="27"/>
      <c r="D106" s="27"/>
      <c r="E106" s="27"/>
      <c r="F106" s="27"/>
      <c r="G106" s="28"/>
      <c r="H106" s="28"/>
      <c r="I106" s="28"/>
      <c r="J106" s="28"/>
      <c r="K106" s="28"/>
      <c r="L106" s="28"/>
      <c r="M106" s="28"/>
      <c r="N106" s="28"/>
      <c r="O106" s="28"/>
      <c r="P106" s="28"/>
      <c r="Q106" s="379"/>
    </row>
    <row r="107" spans="1:17" ht="15" customHeight="1">
      <c r="A107" s="379"/>
      <c r="B107" s="379"/>
      <c r="C107" s="379"/>
      <c r="D107" s="379"/>
      <c r="E107" s="379"/>
      <c r="F107" s="379"/>
      <c r="G107" s="379"/>
      <c r="H107" s="379"/>
      <c r="I107" s="379"/>
      <c r="J107" s="379"/>
      <c r="K107" s="379"/>
      <c r="L107" s="379"/>
      <c r="M107" s="379"/>
      <c r="N107" s="379"/>
      <c r="O107" s="379"/>
      <c r="P107" s="379"/>
      <c r="Q107" s="379"/>
    </row>
    <row r="108" spans="1:17" ht="15" customHeight="1">
      <c r="A108" s="530"/>
      <c r="B108" s="530"/>
      <c r="C108" s="530"/>
      <c r="D108" s="530"/>
      <c r="E108" s="530"/>
      <c r="F108" s="530"/>
      <c r="G108" s="530"/>
      <c r="H108" s="530"/>
      <c r="I108" s="530"/>
      <c r="J108" s="530"/>
      <c r="K108" s="530"/>
      <c r="L108" s="530"/>
      <c r="M108" s="530"/>
      <c r="N108" s="530"/>
      <c r="O108" s="530"/>
      <c r="P108" s="530"/>
      <c r="Q108" s="530"/>
    </row>
    <row r="109" spans="1:17" ht="15" customHeight="1">
      <c r="A109" s="379"/>
      <c r="B109" s="379"/>
      <c r="C109" s="379"/>
      <c r="D109" s="379"/>
      <c r="E109" s="379"/>
      <c r="F109" s="379"/>
      <c r="G109" s="379"/>
      <c r="H109" s="379"/>
      <c r="I109" s="379"/>
      <c r="J109" s="379"/>
      <c r="K109" s="379"/>
      <c r="L109" s="379"/>
      <c r="M109" s="379"/>
      <c r="N109" s="379"/>
      <c r="O109" s="379"/>
      <c r="P109" s="379"/>
      <c r="Q109" s="379"/>
    </row>
    <row r="110" spans="1:17" ht="15" customHeight="1">
      <c r="A110" s="379"/>
      <c r="B110" s="31"/>
      <c r="C110" s="27"/>
      <c r="D110" s="27"/>
      <c r="E110" s="27"/>
      <c r="F110" s="27"/>
      <c r="G110" s="28"/>
      <c r="H110" s="28"/>
      <c r="I110" s="28"/>
      <c r="J110" s="28"/>
      <c r="K110" s="28"/>
      <c r="L110" s="28"/>
      <c r="M110" s="28"/>
      <c r="N110" s="28"/>
      <c r="O110" s="28"/>
      <c r="P110" s="28"/>
      <c r="Q110" s="379"/>
    </row>
    <row r="111" spans="1:17" ht="15" customHeight="1">
      <c r="A111" s="379"/>
      <c r="B111" s="27"/>
      <c r="C111" s="27"/>
      <c r="D111" s="27"/>
      <c r="E111" s="27"/>
      <c r="F111" s="27"/>
      <c r="G111" s="28"/>
      <c r="H111" s="28"/>
      <c r="I111" s="28"/>
      <c r="J111" s="28"/>
      <c r="K111" s="28"/>
      <c r="L111" s="28"/>
      <c r="M111" s="28"/>
      <c r="N111" s="28"/>
      <c r="O111" s="28"/>
      <c r="P111" s="28"/>
      <c r="Q111" s="379"/>
    </row>
    <row r="112" spans="1:17" ht="15" customHeight="1">
      <c r="A112" s="379"/>
      <c r="B112" s="27"/>
      <c r="C112" s="27"/>
      <c r="D112" s="27"/>
      <c r="E112" s="27"/>
      <c r="F112" s="27"/>
      <c r="G112" s="28"/>
      <c r="H112" s="28"/>
      <c r="I112" s="28"/>
      <c r="J112" s="28"/>
      <c r="K112" s="28"/>
      <c r="L112" s="28"/>
      <c r="M112" s="28"/>
      <c r="N112" s="28"/>
      <c r="O112" s="28"/>
      <c r="P112" s="28"/>
      <c r="Q112" s="379"/>
    </row>
    <row r="113" spans="1:17" ht="15" customHeight="1">
      <c r="A113" s="379"/>
      <c r="B113" s="379"/>
      <c r="C113" s="379"/>
      <c r="D113" s="379"/>
      <c r="E113" s="379"/>
      <c r="F113" s="379"/>
      <c r="G113" s="379"/>
      <c r="H113" s="379"/>
      <c r="I113" s="379"/>
      <c r="J113" s="379"/>
      <c r="K113" s="379"/>
      <c r="L113" s="379"/>
      <c r="M113" s="379"/>
      <c r="N113" s="379"/>
      <c r="O113" s="379"/>
      <c r="P113" s="379"/>
      <c r="Q113" s="379"/>
    </row>
    <row r="114" spans="1:17" ht="5.0999999999999996" customHeight="1">
      <c r="A114" s="379"/>
      <c r="B114" s="379"/>
      <c r="C114" s="379"/>
      <c r="D114" s="379"/>
      <c r="E114" s="151"/>
      <c r="F114" s="151"/>
      <c r="G114" s="151"/>
      <c r="H114" s="379"/>
      <c r="I114" s="379"/>
      <c r="J114" s="379"/>
      <c r="K114" s="379"/>
      <c r="L114" s="379"/>
      <c r="M114" s="379"/>
      <c r="N114" s="151"/>
      <c r="O114" s="151"/>
      <c r="P114" s="151"/>
      <c r="Q114" s="379"/>
    </row>
    <row r="115" spans="1:17" ht="12" customHeight="1">
      <c r="A115" s="379"/>
      <c r="B115" s="31"/>
      <c r="C115" s="27"/>
      <c r="D115" s="27"/>
      <c r="E115" s="652"/>
      <c r="F115" s="652"/>
      <c r="G115" s="652"/>
      <c r="H115" s="28"/>
      <c r="I115" s="28"/>
      <c r="J115" s="28"/>
      <c r="K115" s="28"/>
      <c r="L115" s="28"/>
      <c r="M115" s="28"/>
      <c r="N115" s="854" t="s">
        <v>250</v>
      </c>
      <c r="O115" s="854"/>
      <c r="P115" s="854"/>
      <c r="Q115" s="379"/>
    </row>
    <row r="116" spans="1:17" ht="12" customHeight="1">
      <c r="A116" s="379"/>
      <c r="B116" s="652" t="s">
        <v>691</v>
      </c>
      <c r="C116" s="652"/>
      <c r="D116" s="652"/>
      <c r="E116" s="652"/>
      <c r="F116" s="652"/>
      <c r="G116" s="652"/>
      <c r="H116" s="550"/>
      <c r="I116" s="28"/>
      <c r="J116" s="28"/>
      <c r="K116" s="28"/>
      <c r="L116" s="28"/>
      <c r="M116" s="28"/>
      <c r="N116" s="505"/>
      <c r="O116" s="855" t="s">
        <v>455</v>
      </c>
      <c r="P116" s="855"/>
      <c r="Q116" s="379"/>
    </row>
    <row r="117" spans="1:17" ht="12" customHeight="1">
      <c r="A117" s="379"/>
      <c r="B117" s="27"/>
      <c r="C117" s="27"/>
      <c r="D117" s="27"/>
      <c r="E117" s="27"/>
      <c r="F117" s="27"/>
      <c r="G117" s="28"/>
      <c r="H117" s="28"/>
      <c r="I117" s="28"/>
      <c r="J117" s="28"/>
      <c r="K117" s="28"/>
      <c r="L117" s="28"/>
      <c r="M117" s="28"/>
      <c r="N117" s="506"/>
      <c r="O117" s="855" t="s">
        <v>456</v>
      </c>
      <c r="P117" s="855"/>
      <c r="Q117" s="379"/>
    </row>
    <row r="118" spans="1:17" ht="12" customHeight="1">
      <c r="A118" s="379"/>
      <c r="B118" s="27"/>
      <c r="C118" s="27"/>
      <c r="D118" s="27"/>
      <c r="E118" s="27"/>
      <c r="F118" s="27"/>
      <c r="G118" s="28"/>
      <c r="H118" s="28"/>
      <c r="I118" s="28"/>
      <c r="J118" s="28"/>
      <c r="K118" s="28"/>
      <c r="L118" s="28"/>
      <c r="M118" s="28"/>
      <c r="N118" s="507"/>
      <c r="O118" s="855" t="s">
        <v>457</v>
      </c>
      <c r="P118" s="855"/>
      <c r="Q118" s="379"/>
    </row>
    <row r="119" spans="1:17" ht="12" customHeight="1">
      <c r="A119" s="379"/>
      <c r="B119" s="27"/>
      <c r="C119" s="27"/>
      <c r="D119" s="27"/>
      <c r="E119" s="27"/>
      <c r="F119" s="27"/>
      <c r="G119" s="28"/>
      <c r="H119" s="28"/>
      <c r="I119" s="28"/>
      <c r="J119" s="28"/>
      <c r="K119" s="28"/>
      <c r="L119" s="28"/>
      <c r="M119" s="28"/>
      <c r="N119" s="508"/>
      <c r="O119" s="855" t="s">
        <v>458</v>
      </c>
      <c r="P119" s="855"/>
      <c r="Q119" s="379"/>
    </row>
    <row r="120" spans="1:17" ht="15" customHeight="1">
      <c r="A120" s="378"/>
      <c r="B120" s="156" t="s">
        <v>28</v>
      </c>
      <c r="C120" s="154"/>
      <c r="D120" s="154"/>
      <c r="E120" s="154"/>
      <c r="F120" s="154"/>
      <c r="G120" s="154"/>
      <c r="H120" s="154"/>
      <c r="I120" s="154"/>
      <c r="J120" s="154"/>
      <c r="K120" s="154"/>
      <c r="L120" s="154"/>
      <c r="M120" s="154"/>
      <c r="N120" s="26"/>
      <c r="O120" s="26"/>
      <c r="P120" s="28"/>
      <c r="Q120" s="378"/>
    </row>
    <row r="121" spans="1:17" ht="30" customHeight="1">
      <c r="A121" s="378"/>
      <c r="B121" s="378"/>
      <c r="C121" s="378"/>
      <c r="D121" s="378"/>
      <c r="E121" s="378"/>
      <c r="F121" s="379"/>
      <c r="G121" s="378"/>
      <c r="H121" s="378"/>
      <c r="I121" s="378"/>
      <c r="J121" s="378"/>
      <c r="K121" s="378"/>
      <c r="L121" s="378"/>
      <c r="M121" s="378"/>
      <c r="N121" s="378"/>
      <c r="O121" s="379"/>
      <c r="P121" s="378"/>
      <c r="Q121" s="378"/>
    </row>
    <row r="122" spans="1:17" ht="15" customHeight="1">
      <c r="A122" s="378"/>
      <c r="B122" s="378"/>
      <c r="C122" s="378"/>
      <c r="D122" s="378"/>
      <c r="E122" s="378"/>
      <c r="F122" s="379"/>
      <c r="G122" s="378"/>
      <c r="H122" s="378"/>
      <c r="I122" s="378"/>
      <c r="J122" s="378"/>
      <c r="K122" s="378"/>
      <c r="L122" s="378"/>
      <c r="M122" s="378"/>
      <c r="N122" s="378"/>
      <c r="O122" s="379"/>
      <c r="P122" s="378"/>
      <c r="Q122" s="378"/>
    </row>
    <row r="123" spans="1:17" ht="15" customHeight="1">
      <c r="A123" s="378"/>
      <c r="B123" s="378"/>
      <c r="C123" s="378"/>
      <c r="D123" s="378"/>
      <c r="E123" s="378"/>
      <c r="F123" s="379"/>
      <c r="G123" s="378"/>
      <c r="H123" s="378"/>
      <c r="I123" s="378"/>
      <c r="J123" s="378"/>
      <c r="K123" s="378"/>
      <c r="L123" s="378"/>
      <c r="M123" s="378"/>
      <c r="N123" s="378"/>
      <c r="O123" s="379"/>
      <c r="P123" s="378"/>
      <c r="Q123" s="378"/>
    </row>
    <row r="124" spans="1:17" ht="15" customHeight="1">
      <c r="A124" s="378"/>
      <c r="B124" s="378"/>
      <c r="C124" s="378"/>
      <c r="D124" s="378"/>
      <c r="E124" s="378"/>
      <c r="F124" s="379"/>
      <c r="G124" s="378"/>
      <c r="H124" s="378"/>
      <c r="I124" s="378"/>
      <c r="J124" s="378"/>
      <c r="K124" s="378"/>
      <c r="L124" s="378"/>
      <c r="M124" s="378"/>
      <c r="N124" s="378"/>
      <c r="O124" s="379"/>
      <c r="P124" s="378"/>
      <c r="Q124" s="378"/>
    </row>
    <row r="125" spans="1:17" ht="15" customHeight="1">
      <c r="A125" s="378"/>
      <c r="B125" s="378"/>
      <c r="C125" s="378"/>
      <c r="D125" s="378"/>
      <c r="E125" s="378"/>
      <c r="F125" s="379"/>
      <c r="G125" s="378"/>
      <c r="H125" s="378"/>
      <c r="I125" s="378"/>
      <c r="J125" s="378"/>
      <c r="K125" s="378"/>
      <c r="L125" s="378"/>
      <c r="M125" s="378"/>
      <c r="N125" s="378"/>
      <c r="O125" s="379"/>
      <c r="P125" s="378"/>
      <c r="Q125" s="378"/>
    </row>
    <row r="126" spans="1:17" ht="15" customHeight="1" thickBot="1">
      <c r="A126" s="378"/>
      <c r="B126" s="378"/>
      <c r="C126" s="378"/>
      <c r="D126" s="378"/>
      <c r="E126" s="378"/>
      <c r="F126" s="379"/>
      <c r="G126" s="378"/>
      <c r="H126" s="378"/>
      <c r="I126" s="378"/>
      <c r="J126" s="378"/>
      <c r="K126" s="378"/>
      <c r="L126" s="378"/>
      <c r="M126" s="378"/>
      <c r="N126" s="378"/>
      <c r="O126" s="379"/>
      <c r="P126" s="378"/>
      <c r="Q126" s="378"/>
    </row>
    <row r="127" spans="1:17" ht="9.9499999999999993" customHeight="1">
      <c r="A127" s="378"/>
      <c r="B127" s="783"/>
      <c r="C127" s="783"/>
      <c r="D127" s="783"/>
      <c r="E127" s="783"/>
      <c r="F127" s="783"/>
      <c r="G127" s="783"/>
      <c r="H127" s="783"/>
      <c r="I127" s="783"/>
      <c r="J127" s="783"/>
      <c r="K127" s="783"/>
      <c r="L127" s="783"/>
      <c r="M127" s="783"/>
      <c r="N127" s="783"/>
      <c r="O127" s="783"/>
      <c r="P127" s="783"/>
      <c r="Q127" s="378"/>
    </row>
  </sheetData>
  <mergeCells count="84">
    <mergeCell ref="B89:P89"/>
    <mergeCell ref="F72:G72"/>
    <mergeCell ref="F73:G73"/>
    <mergeCell ref="F74:G74"/>
    <mergeCell ref="O74:P74"/>
    <mergeCell ref="B116:G116"/>
    <mergeCell ref="B127:P127"/>
    <mergeCell ref="O119:P119"/>
    <mergeCell ref="I97:P97"/>
    <mergeCell ref="O116:P116"/>
    <mergeCell ref="O117:P117"/>
    <mergeCell ref="O118:P118"/>
    <mergeCell ref="E115:G115"/>
    <mergeCell ref="N115:P115"/>
    <mergeCell ref="B97:G97"/>
    <mergeCell ref="B79:P79"/>
    <mergeCell ref="F75:G75"/>
    <mergeCell ref="O72:P72"/>
    <mergeCell ref="O73:P73"/>
    <mergeCell ref="B52:G52"/>
    <mergeCell ref="B11:G11"/>
    <mergeCell ref="B12:G12"/>
    <mergeCell ref="B13:G13"/>
    <mergeCell ref="B35:G35"/>
    <mergeCell ref="I35:P35"/>
    <mergeCell ref="N23:O23"/>
    <mergeCell ref="E24:F24"/>
    <mergeCell ref="N24:O24"/>
    <mergeCell ref="E30:F30"/>
    <mergeCell ref="N30:O30"/>
    <mergeCell ref="E31:F31"/>
    <mergeCell ref="N31:O31"/>
    <mergeCell ref="E32:F32"/>
    <mergeCell ref="N32:O32"/>
    <mergeCell ref="B27:P27"/>
    <mergeCell ref="E29:F29"/>
    <mergeCell ref="E22:F22"/>
    <mergeCell ref="N22:O22"/>
    <mergeCell ref="E23:F23"/>
    <mergeCell ref="B2:D2"/>
    <mergeCell ref="H2:P2"/>
    <mergeCell ref="B6:P6"/>
    <mergeCell ref="B7:G7"/>
    <mergeCell ref="B8:G8"/>
    <mergeCell ref="B14:G14"/>
    <mergeCell ref="B15:G15"/>
    <mergeCell ref="B17:P17"/>
    <mergeCell ref="B19:P19"/>
    <mergeCell ref="E21:F21"/>
    <mergeCell ref="N21:O21"/>
    <mergeCell ref="B9:G9"/>
    <mergeCell ref="B10:G10"/>
    <mergeCell ref="K25:P25"/>
    <mergeCell ref="B33:I33"/>
    <mergeCell ref="B25:I25"/>
    <mergeCell ref="K33:P33"/>
    <mergeCell ref="E85:F85"/>
    <mergeCell ref="N85:O85"/>
    <mergeCell ref="B81:P81"/>
    <mergeCell ref="E83:F83"/>
    <mergeCell ref="N83:O83"/>
    <mergeCell ref="E84:F84"/>
    <mergeCell ref="N84:O84"/>
    <mergeCell ref="I54:P54"/>
    <mergeCell ref="N71:P71"/>
    <mergeCell ref="B54:G54"/>
    <mergeCell ref="E71:G71"/>
    <mergeCell ref="N29:O29"/>
    <mergeCell ref="K52:P52"/>
    <mergeCell ref="B87:I87"/>
    <mergeCell ref="K87:P87"/>
    <mergeCell ref="B95:I95"/>
    <mergeCell ref="K95:P95"/>
    <mergeCell ref="E86:F86"/>
    <mergeCell ref="N86:O86"/>
    <mergeCell ref="E94:F94"/>
    <mergeCell ref="N91:O91"/>
    <mergeCell ref="N92:O92"/>
    <mergeCell ref="N93:O93"/>
    <mergeCell ref="N94:O94"/>
    <mergeCell ref="E91:F91"/>
    <mergeCell ref="E92:F92"/>
    <mergeCell ref="E93:F93"/>
    <mergeCell ref="O75:P75"/>
  </mergeCells>
  <hyperlinks>
    <hyperlink ref="B4" location="INDICE!A1" display="Índice"/>
    <hyperlink ref="B77" location="'D04'!A1" display="Topo"/>
    <hyperlink ref="B120" location="'D04'!A1" display="Topo"/>
    <hyperlink ref="B9" location="'D01'!A16" display="Óbitos e Taxa Bruta de Mortalidade"/>
    <hyperlink ref="B7:G7" location="'D01'!A17" display="Nascimentos Pré-Termo e Baixo Peso à Nascença"/>
    <hyperlink ref="B9:G9" location="'D01'!A45" display="Óbitos e Taxa Bruta de Mortalidade"/>
    <hyperlink ref="B10:G10" location="'D01'!A63" display="Mortalidade Infantil e Componentes"/>
    <hyperlink ref="B11:G11" location="'D02'!A17" display="Mortalidade Proporcional"/>
    <hyperlink ref="B12:G12" location="'D03'!A17" display="Taxa de Mortalidade Padronizada pela idade (TMP)"/>
    <hyperlink ref="B13:G13" location="'D04'!A17" display="Morbilidade nos Cuidados de Saúde Primários"/>
    <hyperlink ref="B14:G14" location="'D05'!A17" display="VIH /sida"/>
    <hyperlink ref="B15:G15" location="'D05'!A79" display="Tuberculose"/>
  </hyperlinks>
  <pageMargins left="0.39370078740157483" right="0.19685039370078741" top="0.78740157480314965" bottom="0.39370078740157483" header="0.31496062992125984" footer="0.31496062992125984"/>
  <pageSetup paperSize="9" scale="68" orientation="portrait" r:id="rId1"/>
  <rowBreaks count="1" manualBreakCount="1">
    <brk id="77" max="16" man="1"/>
  </rowBreaks>
  <ignoredErrors>
    <ignoredError sqref="N21 K21 N91 K29 N29 K91 K83 N83" numberStoredAsText="1"/>
  </ignoredErrors>
  <drawing r:id="rId2"/>
</worksheet>
</file>

<file path=xl/worksheets/sheet13.xml><?xml version="1.0" encoding="utf-8"?>
<worksheet xmlns="http://schemas.openxmlformats.org/spreadsheetml/2006/main" xmlns:r="http://schemas.openxmlformats.org/officeDocument/2006/relationships">
  <sheetPr codeName="Folha12"/>
  <dimension ref="A1:S89"/>
  <sheetViews>
    <sheetView zoomScaleNormal="100" workbookViewId="0"/>
  </sheetViews>
  <sheetFormatPr defaultRowHeight="14.25"/>
  <cols>
    <col min="1" max="1" width="2.7109375" style="6" customWidth="1"/>
    <col min="2" max="2" width="1.7109375" style="6" customWidth="1"/>
    <col min="3" max="3" width="40.7109375" style="6" customWidth="1"/>
    <col min="4" max="4" width="4.7109375" style="6" customWidth="1"/>
    <col min="5" max="6" width="6.7109375" style="6" customWidth="1"/>
    <col min="7" max="9" width="10.7109375" style="6" customWidth="1"/>
    <col min="10" max="10" width="5.28515625" style="6" customWidth="1"/>
    <col min="11" max="11" width="30.7109375" style="6" customWidth="1"/>
    <col min="12" max="12" width="5.28515625" style="6" customWidth="1"/>
    <col min="13" max="13" width="2.7109375" style="6" customWidth="1"/>
    <col min="14" max="16384" width="9.140625" style="6"/>
  </cols>
  <sheetData>
    <row r="1" spans="1:19" ht="9.9499999999999993" customHeight="1">
      <c r="A1" s="146"/>
      <c r="B1" s="146"/>
      <c r="C1" s="146"/>
      <c r="D1" s="146"/>
      <c r="E1" s="146"/>
      <c r="F1" s="146"/>
      <c r="G1" s="146"/>
      <c r="H1" s="146"/>
      <c r="I1" s="146"/>
      <c r="J1" s="264"/>
      <c r="K1" s="146"/>
      <c r="L1" s="264"/>
      <c r="M1" s="146"/>
    </row>
    <row r="2" spans="1:19" ht="20.100000000000001" customHeight="1" thickBot="1">
      <c r="A2" s="146"/>
      <c r="B2" s="863" t="str">
        <f>AUX!A1</f>
        <v>Perfil Local de Saúde 2014</v>
      </c>
      <c r="C2" s="863"/>
      <c r="D2" s="863"/>
      <c r="E2" s="863"/>
      <c r="F2" s="863"/>
      <c r="G2" s="862">
        <f>AUX!A3</f>
        <v>0</v>
      </c>
      <c r="H2" s="862"/>
      <c r="I2" s="862"/>
      <c r="J2" s="862"/>
      <c r="K2" s="862"/>
      <c r="L2" s="862"/>
      <c r="M2" s="146"/>
    </row>
    <row r="3" spans="1:19" ht="9.9499999999999993" customHeight="1" thickTop="1">
      <c r="A3" s="146"/>
      <c r="B3" s="146"/>
      <c r="C3" s="146"/>
      <c r="D3" s="146"/>
      <c r="E3" s="146"/>
      <c r="F3" s="146"/>
      <c r="G3" s="146"/>
      <c r="H3" s="146"/>
      <c r="I3" s="146"/>
      <c r="J3" s="264"/>
      <c r="K3" s="146"/>
      <c r="L3" s="264"/>
      <c r="M3" s="146"/>
    </row>
    <row r="4" spans="1:19">
      <c r="A4" s="146"/>
      <c r="B4" s="146"/>
      <c r="C4" s="565" t="s">
        <v>0</v>
      </c>
      <c r="D4" s="146"/>
      <c r="E4" s="146"/>
      <c r="F4" s="146"/>
      <c r="G4" s="146"/>
      <c r="H4" s="146"/>
      <c r="I4" s="146"/>
      <c r="J4" s="264"/>
      <c r="K4" s="146"/>
      <c r="L4" s="264"/>
      <c r="M4" s="146"/>
    </row>
    <row r="5" spans="1:19" ht="15" customHeight="1">
      <c r="A5" s="146"/>
      <c r="B5" s="146"/>
      <c r="C5" s="146"/>
      <c r="D5" s="146"/>
      <c r="E5" s="146"/>
      <c r="F5" s="146"/>
      <c r="G5" s="146"/>
      <c r="H5" s="146"/>
      <c r="I5" s="146"/>
      <c r="J5" s="264"/>
      <c r="K5" s="146"/>
      <c r="L5" s="264"/>
      <c r="M5" s="146"/>
    </row>
    <row r="6" spans="1:19" ht="24.95" customHeight="1">
      <c r="A6" s="146"/>
      <c r="B6" s="864" t="str">
        <f>RIGHT(AUX!C3,1) &amp; " "  &amp; AUX!D3 &amp; " NUM ABRIR E FECHAR DE OLHOS…"</f>
        <v>O  NUM ABRIR E FECHAR DE OLHOS…</v>
      </c>
      <c r="C6" s="864"/>
      <c r="D6" s="864"/>
      <c r="E6" s="864"/>
      <c r="F6" s="864"/>
      <c r="G6" s="864"/>
      <c r="H6" s="864"/>
      <c r="I6" s="864"/>
      <c r="J6" s="864"/>
      <c r="K6" s="864"/>
      <c r="L6" s="864"/>
      <c r="M6" s="146"/>
    </row>
    <row r="7" spans="1:19" ht="6" customHeight="1">
      <c r="A7" s="146"/>
      <c r="B7" s="134"/>
      <c r="C7" s="134"/>
      <c r="D7" s="134"/>
      <c r="E7" s="134"/>
      <c r="F7" s="134"/>
      <c r="G7" s="146"/>
      <c r="H7" s="146"/>
      <c r="I7" s="146"/>
      <c r="J7" s="264"/>
      <c r="K7" s="146"/>
      <c r="L7" s="264"/>
      <c r="M7" s="146"/>
    </row>
    <row r="8" spans="1:19" ht="26.1" customHeight="1">
      <c r="A8" s="377"/>
      <c r="B8" s="872" t="s">
        <v>521</v>
      </c>
      <c r="C8" s="872"/>
      <c r="D8" s="872"/>
      <c r="E8" s="872"/>
      <c r="F8" s="872"/>
      <c r="G8" s="872"/>
      <c r="H8" s="872"/>
      <c r="I8" s="872"/>
      <c r="J8" s="872"/>
      <c r="K8" s="872"/>
      <c r="L8" s="872"/>
      <c r="M8" s="377"/>
    </row>
    <row r="9" spans="1:19" ht="15" customHeight="1">
      <c r="A9" s="378"/>
      <c r="B9" s="134"/>
      <c r="C9" s="383"/>
      <c r="D9" s="134"/>
      <c r="E9" s="134"/>
      <c r="F9" s="134"/>
      <c r="G9" s="378"/>
      <c r="H9" s="378"/>
      <c r="I9" s="378"/>
      <c r="J9" s="378"/>
      <c r="K9" s="378"/>
      <c r="L9" s="378"/>
      <c r="M9" s="378"/>
    </row>
    <row r="10" spans="1:19" ht="15" customHeight="1">
      <c r="A10" s="378"/>
      <c r="B10" s="134"/>
      <c r="C10" s="134"/>
      <c r="D10" s="134"/>
      <c r="E10" s="134"/>
      <c r="F10" s="856" t="s">
        <v>553</v>
      </c>
      <c r="G10" s="856"/>
      <c r="H10" s="378"/>
      <c r="I10" s="378"/>
      <c r="J10" s="378"/>
      <c r="K10" s="857" t="s">
        <v>554</v>
      </c>
      <c r="L10" s="378"/>
      <c r="M10" s="378"/>
    </row>
    <row r="11" spans="1:19" ht="15" customHeight="1">
      <c r="A11" s="377"/>
      <c r="B11" s="134"/>
      <c r="C11" s="134"/>
      <c r="D11" s="134"/>
      <c r="E11" s="134"/>
      <c r="F11" s="856"/>
      <c r="G11" s="856"/>
      <c r="H11" s="377"/>
      <c r="I11" s="377"/>
      <c r="J11" s="377"/>
      <c r="K11" s="857"/>
      <c r="L11" s="377"/>
      <c r="M11" s="377"/>
    </row>
    <row r="12" spans="1:19" ht="15" customHeight="1">
      <c r="A12" s="377"/>
      <c r="B12" s="377"/>
      <c r="C12" s="377"/>
      <c r="D12" s="377"/>
      <c r="E12" s="377"/>
      <c r="F12" s="856"/>
      <c r="G12" s="856"/>
      <c r="H12" s="377"/>
      <c r="I12" s="377"/>
      <c r="J12" s="377"/>
      <c r="K12" s="857"/>
      <c r="L12" s="377"/>
      <c r="M12" s="377"/>
    </row>
    <row r="13" spans="1:19" ht="15" customHeight="1">
      <c r="A13" s="377"/>
      <c r="B13" s="377"/>
      <c r="C13" s="377"/>
      <c r="D13" s="377"/>
      <c r="E13" s="377"/>
      <c r="F13" s="377"/>
      <c r="G13" s="377"/>
      <c r="H13" s="377"/>
      <c r="I13" s="377"/>
      <c r="J13" s="377"/>
      <c r="K13" s="377"/>
      <c r="L13" s="377"/>
      <c r="M13" s="377"/>
    </row>
    <row r="14" spans="1:19" ht="18" customHeight="1">
      <c r="A14" s="146"/>
      <c r="B14" s="873" t="s">
        <v>4</v>
      </c>
      <c r="C14" s="873"/>
      <c r="D14" s="873"/>
      <c r="E14" s="873"/>
      <c r="F14" s="873"/>
      <c r="G14" s="873"/>
      <c r="H14" s="873"/>
      <c r="I14" s="873"/>
      <c r="J14" s="266"/>
      <c r="K14" s="146"/>
      <c r="L14" s="264"/>
      <c r="M14" s="146"/>
    </row>
    <row r="15" spans="1:19" ht="5.0999999999999996" customHeight="1">
      <c r="A15" s="146"/>
      <c r="B15" s="640"/>
      <c r="C15" s="640"/>
      <c r="D15" s="640"/>
      <c r="E15" s="640"/>
      <c r="F15" s="640"/>
      <c r="G15" s="640"/>
      <c r="H15" s="640"/>
      <c r="I15" s="640"/>
      <c r="J15" s="305"/>
      <c r="K15" s="309"/>
      <c r="L15" s="309"/>
      <c r="M15" s="146"/>
    </row>
    <row r="16" spans="1:19" ht="5.0999999999999996" customHeight="1">
      <c r="A16" s="146"/>
      <c r="B16" s="146"/>
      <c r="C16" s="146"/>
      <c r="D16" s="146"/>
      <c r="E16" s="146"/>
      <c r="F16" s="146"/>
      <c r="G16" s="146"/>
      <c r="H16" s="146"/>
      <c r="I16" s="146"/>
      <c r="J16" s="264"/>
      <c r="K16" s="146"/>
      <c r="L16" s="264"/>
      <c r="M16" s="146"/>
      <c r="N16" s="173"/>
      <c r="O16" s="173"/>
      <c r="P16" s="173"/>
      <c r="Q16" s="173"/>
      <c r="R16" s="173"/>
      <c r="S16" s="173"/>
    </row>
    <row r="17" spans="1:19" ht="35.1" customHeight="1">
      <c r="A17" s="146"/>
      <c r="B17" s="886"/>
      <c r="C17" s="162" t="s">
        <v>72</v>
      </c>
      <c r="D17" s="157" t="s">
        <v>79</v>
      </c>
      <c r="E17" s="157" t="s">
        <v>70</v>
      </c>
      <c r="F17" s="157" t="s">
        <v>71</v>
      </c>
      <c r="G17" s="271" t="s">
        <v>16</v>
      </c>
      <c r="H17" s="509">
        <f>AUX!A2</f>
        <v>0</v>
      </c>
      <c r="I17" s="272">
        <f>PLS!C5</f>
        <v>0</v>
      </c>
      <c r="J17" s="314" t="s">
        <v>271</v>
      </c>
      <c r="K17" s="296"/>
      <c r="L17" s="317" t="s">
        <v>272</v>
      </c>
      <c r="M17" s="146"/>
      <c r="N17" s="173"/>
      <c r="O17" s="173"/>
      <c r="P17" s="173"/>
      <c r="Q17" s="173"/>
      <c r="R17" s="173"/>
      <c r="S17" s="173"/>
    </row>
    <row r="18" spans="1:19" ht="21.95" customHeight="1">
      <c r="A18" s="146"/>
      <c r="B18" s="887"/>
      <c r="C18" s="273" t="s">
        <v>73</v>
      </c>
      <c r="D18" s="157" t="s">
        <v>13</v>
      </c>
      <c r="E18" s="157">
        <v>2012</v>
      </c>
      <c r="F18" s="158" t="s">
        <v>75</v>
      </c>
      <c r="G18" s="277">
        <f>AUX!B$441</f>
        <v>9976649</v>
      </c>
      <c r="H18" s="277">
        <f>AUX!B$442</f>
        <v>0</v>
      </c>
      <c r="I18" s="277">
        <f>AUX!B$440</f>
        <v>0</v>
      </c>
      <c r="J18" s="298"/>
      <c r="K18" s="564" t="s">
        <v>282</v>
      </c>
      <c r="L18" s="301"/>
      <c r="M18" s="146"/>
      <c r="N18" s="173"/>
      <c r="O18" s="173"/>
      <c r="P18" s="173"/>
      <c r="Q18" s="173"/>
      <c r="R18" s="173"/>
      <c r="S18" s="173"/>
    </row>
    <row r="19" spans="1:19" ht="21.95" customHeight="1">
      <c r="A19" s="146"/>
      <c r="B19" s="887"/>
      <c r="C19" s="273" t="s">
        <v>74</v>
      </c>
      <c r="D19" s="157" t="s">
        <v>13</v>
      </c>
      <c r="E19" s="157">
        <v>2012</v>
      </c>
      <c r="F19" s="157" t="s">
        <v>211</v>
      </c>
      <c r="G19" s="303">
        <f>AUX!C$441</f>
        <v>133.98202652317022</v>
      </c>
      <c r="H19" s="303">
        <f>AUX!C$442</f>
        <v>0</v>
      </c>
      <c r="I19" s="303">
        <f>AUX!C$440</f>
        <v>0</v>
      </c>
      <c r="J19" s="299">
        <f>AUX!C436</f>
        <v>299.53298307063631</v>
      </c>
      <c r="K19" s="151"/>
      <c r="L19" s="297">
        <f>AUX!C435</f>
        <v>68.730672681631319</v>
      </c>
      <c r="M19" s="146"/>
      <c r="N19" s="173"/>
      <c r="O19" s="173"/>
      <c r="P19" s="173"/>
      <c r="Q19" s="173"/>
      <c r="R19" s="173"/>
      <c r="S19" s="173"/>
    </row>
    <row r="20" spans="1:19" ht="21.95" customHeight="1">
      <c r="A20" s="302"/>
      <c r="B20" s="887"/>
      <c r="C20" s="273" t="s">
        <v>77</v>
      </c>
      <c r="D20" s="157" t="s">
        <v>13</v>
      </c>
      <c r="E20" s="157">
        <v>2012</v>
      </c>
      <c r="F20" s="157" t="s">
        <v>78</v>
      </c>
      <c r="G20" s="303">
        <f>AUX!D$441</f>
        <v>8.527352357854511</v>
      </c>
      <c r="H20" s="303">
        <f>AUX!D$442</f>
        <v>0</v>
      </c>
      <c r="I20" s="303">
        <f>AUX!D$440</f>
        <v>0</v>
      </c>
      <c r="J20" s="299">
        <f>AUX!D435</f>
        <v>5.163014593108894</v>
      </c>
      <c r="K20" s="151"/>
      <c r="L20" s="297">
        <f>AUX!D436</f>
        <v>11.116019052817267</v>
      </c>
      <c r="M20" s="302"/>
      <c r="N20" s="173"/>
      <c r="O20" s="173"/>
      <c r="P20" s="173"/>
      <c r="Q20" s="173"/>
      <c r="R20" s="173"/>
      <c r="S20" s="173"/>
    </row>
    <row r="21" spans="1:19" ht="21.95" customHeight="1">
      <c r="A21" s="304"/>
      <c r="B21" s="887"/>
      <c r="C21" s="273" t="s">
        <v>210</v>
      </c>
      <c r="D21" s="157" t="s">
        <v>15</v>
      </c>
      <c r="E21" s="157">
        <v>2012</v>
      </c>
      <c r="F21" s="158" t="s">
        <v>75</v>
      </c>
      <c r="G21" s="326">
        <f>AUX!E$441</f>
        <v>1.2877062357186866</v>
      </c>
      <c r="H21" s="326">
        <f>AUX!E$442</f>
        <v>0</v>
      </c>
      <c r="I21" s="326">
        <f>AUX!E$440</f>
        <v>0</v>
      </c>
      <c r="J21" s="325">
        <f>AUX!E435</f>
        <v>0.99680196804155274</v>
      </c>
      <c r="K21" s="151"/>
      <c r="L21" s="408">
        <f>AUX!E436</f>
        <v>1.6472076125960957</v>
      </c>
      <c r="M21" s="304"/>
      <c r="N21" s="173"/>
      <c r="O21" s="173"/>
      <c r="P21" s="173"/>
      <c r="Q21" s="173"/>
      <c r="R21" s="173"/>
      <c r="S21" s="173"/>
    </row>
    <row r="22" spans="1:19" ht="21.95" customHeight="1">
      <c r="A22" s="146"/>
      <c r="B22" s="887"/>
      <c r="C22" s="865" t="s">
        <v>76</v>
      </c>
      <c r="D22" s="157" t="s">
        <v>14</v>
      </c>
      <c r="E22" s="895" t="s">
        <v>297</v>
      </c>
      <c r="F22" s="897" t="s">
        <v>75</v>
      </c>
      <c r="G22" s="303">
        <f>AUX!F$441</f>
        <v>77.325289100626719</v>
      </c>
      <c r="H22" s="303">
        <f>AUX!F$442</f>
        <v>0</v>
      </c>
      <c r="I22" s="303">
        <f>AUX!F$440</f>
        <v>0</v>
      </c>
      <c r="J22" s="299">
        <f>AUX!F435</f>
        <v>75.070330987640787</v>
      </c>
      <c r="K22" s="151"/>
      <c r="L22" s="297">
        <f>AUX!F436</f>
        <v>79.215753121226172</v>
      </c>
      <c r="M22" s="146"/>
      <c r="N22" s="173"/>
      <c r="O22" s="173"/>
      <c r="P22" s="173"/>
      <c r="Q22" s="173"/>
      <c r="R22" s="173"/>
      <c r="S22" s="173"/>
    </row>
    <row r="23" spans="1:19" ht="21.95" customHeight="1">
      <c r="A23" s="146"/>
      <c r="B23" s="888"/>
      <c r="C23" s="866"/>
      <c r="D23" s="157" t="s">
        <v>15</v>
      </c>
      <c r="E23" s="896"/>
      <c r="F23" s="898"/>
      <c r="G23" s="303">
        <f>AUX!G$441</f>
        <v>83.655929725352806</v>
      </c>
      <c r="H23" s="303">
        <f>AUX!G$442</f>
        <v>0</v>
      </c>
      <c r="I23" s="303">
        <f>AUX!G$440</f>
        <v>0</v>
      </c>
      <c r="J23" s="300">
        <f>AUX!G435</f>
        <v>81.348212923032975</v>
      </c>
      <c r="K23" s="295"/>
      <c r="L23" s="347">
        <f>AUX!G436</f>
        <v>85.424412377783284</v>
      </c>
      <c r="M23" s="146"/>
      <c r="N23" s="173"/>
      <c r="O23" s="173"/>
      <c r="P23" s="173"/>
      <c r="Q23" s="173"/>
      <c r="R23" s="173"/>
      <c r="S23" s="173"/>
    </row>
    <row r="24" spans="1:19" ht="9.75" customHeight="1">
      <c r="A24" s="146"/>
      <c r="B24" s="146"/>
      <c r="C24" s="146"/>
      <c r="D24" s="146"/>
      <c r="E24" s="146"/>
      <c r="F24" s="146"/>
      <c r="G24" s="146"/>
      <c r="H24" s="146"/>
      <c r="I24" s="146"/>
      <c r="J24" s="264"/>
      <c r="K24" s="146"/>
      <c r="L24" s="264"/>
      <c r="M24" s="146"/>
      <c r="N24" s="173"/>
      <c r="O24" s="173"/>
      <c r="P24" s="173"/>
      <c r="Q24" s="173"/>
      <c r="R24" s="173"/>
      <c r="S24" s="173"/>
    </row>
    <row r="25" spans="1:19" ht="12" customHeight="1">
      <c r="A25" s="264"/>
      <c r="B25" s="899" t="s">
        <v>5</v>
      </c>
      <c r="C25" s="899"/>
      <c r="D25" s="899"/>
      <c r="E25" s="899"/>
      <c r="F25" s="899"/>
      <c r="G25" s="899"/>
      <c r="H25" s="899"/>
      <c r="I25" s="899"/>
      <c r="J25" s="265"/>
      <c r="K25" s="264"/>
      <c r="L25" s="264"/>
      <c r="M25" s="264"/>
      <c r="N25" s="173"/>
      <c r="O25" s="173"/>
      <c r="P25" s="173"/>
      <c r="Q25" s="173"/>
      <c r="R25" s="173"/>
      <c r="S25" s="173"/>
    </row>
    <row r="26" spans="1:19" ht="5.0999999999999996" customHeight="1">
      <c r="A26" s="264"/>
      <c r="B26" s="882"/>
      <c r="C26" s="882"/>
      <c r="D26" s="882"/>
      <c r="E26" s="882"/>
      <c r="F26" s="882"/>
      <c r="G26" s="882"/>
      <c r="H26" s="882"/>
      <c r="I26" s="882"/>
      <c r="J26" s="307"/>
      <c r="K26" s="321"/>
      <c r="L26" s="321"/>
      <c r="M26" s="264"/>
      <c r="N26" s="173"/>
      <c r="O26" s="173"/>
      <c r="P26" s="173"/>
      <c r="Q26" s="173"/>
      <c r="R26" s="173"/>
      <c r="S26" s="173"/>
    </row>
    <row r="27" spans="1:19" ht="5.0999999999999996" customHeight="1">
      <c r="A27" s="264"/>
      <c r="B27" s="264"/>
      <c r="C27" s="264"/>
      <c r="D27" s="264"/>
      <c r="E27" s="264"/>
      <c r="F27" s="264"/>
      <c r="G27" s="264"/>
      <c r="H27" s="264"/>
      <c r="I27" s="264"/>
      <c r="J27" s="264"/>
      <c r="K27" s="264"/>
      <c r="L27" s="264"/>
      <c r="M27" s="264"/>
      <c r="N27" s="173"/>
      <c r="O27" s="173"/>
      <c r="P27" s="173"/>
      <c r="Q27" s="173"/>
      <c r="R27" s="173"/>
      <c r="S27" s="173"/>
    </row>
    <row r="28" spans="1:19" ht="35.1" customHeight="1">
      <c r="A28" s="264"/>
      <c r="B28" s="883"/>
      <c r="C28" s="163" t="s">
        <v>72</v>
      </c>
      <c r="D28" s="159" t="s">
        <v>79</v>
      </c>
      <c r="E28" s="159" t="s">
        <v>70</v>
      </c>
      <c r="F28" s="159" t="s">
        <v>71</v>
      </c>
      <c r="G28" s="278" t="s">
        <v>16</v>
      </c>
      <c r="H28" s="512">
        <f>AUX!A2</f>
        <v>0</v>
      </c>
      <c r="I28" s="279">
        <f>PLS!C5</f>
        <v>0</v>
      </c>
      <c r="J28" s="315" t="s">
        <v>271</v>
      </c>
      <c r="K28" s="310"/>
      <c r="L28" s="318" t="s">
        <v>272</v>
      </c>
      <c r="M28" s="264"/>
      <c r="N28" s="173"/>
      <c r="O28" s="382"/>
      <c r="P28" s="173"/>
      <c r="Q28" s="173"/>
      <c r="R28" s="173"/>
      <c r="S28" s="173"/>
    </row>
    <row r="29" spans="1:19" ht="21.95" customHeight="1">
      <c r="A29" s="264"/>
      <c r="B29" s="884"/>
      <c r="C29" s="889" t="s">
        <v>485</v>
      </c>
      <c r="D29" s="159" t="s">
        <v>14</v>
      </c>
      <c r="E29" s="874">
        <v>41609</v>
      </c>
      <c r="F29" s="900" t="s">
        <v>78</v>
      </c>
      <c r="G29" s="336">
        <f>AUX!J441</f>
        <v>79.257726887942965</v>
      </c>
      <c r="H29" s="336">
        <f>AUX!J442</f>
        <v>0</v>
      </c>
      <c r="I29" s="336">
        <f>AUX!J440</f>
        <v>0</v>
      </c>
      <c r="J29" s="299">
        <f>AUX!J436</f>
        <v>130.97137037286663</v>
      </c>
      <c r="K29" s="294"/>
      <c r="L29" s="297">
        <f>AUX!J435</f>
        <v>46.440292584568525</v>
      </c>
      <c r="M29" s="264"/>
      <c r="O29" s="150"/>
    </row>
    <row r="30" spans="1:19" ht="21.95" customHeight="1">
      <c r="A30" s="264"/>
      <c r="B30" s="884"/>
      <c r="C30" s="890"/>
      <c r="D30" s="159" t="s">
        <v>15</v>
      </c>
      <c r="E30" s="875"/>
      <c r="F30" s="901"/>
      <c r="G30" s="336">
        <f>AUX!K441</f>
        <v>74.803467275284135</v>
      </c>
      <c r="H30" s="336">
        <f>AUX!K442</f>
        <v>0</v>
      </c>
      <c r="I30" s="336">
        <f>AUX!K440</f>
        <v>0</v>
      </c>
      <c r="J30" s="299">
        <f>AUX!K436</f>
        <v>128.47567854535802</v>
      </c>
      <c r="K30" s="151"/>
      <c r="L30" s="297">
        <f>AUX!K435</f>
        <v>49.919794674366379</v>
      </c>
      <c r="M30" s="264"/>
      <c r="O30" s="150"/>
    </row>
    <row r="31" spans="1:19" ht="26.1" customHeight="1">
      <c r="A31" s="340"/>
      <c r="B31" s="884"/>
      <c r="C31" s="276" t="s">
        <v>475</v>
      </c>
      <c r="D31" s="159" t="s">
        <v>13</v>
      </c>
      <c r="E31" s="159">
        <v>2012</v>
      </c>
      <c r="F31" s="159" t="s">
        <v>78</v>
      </c>
      <c r="G31" s="303">
        <f>AUX!L441</f>
        <v>37.062533469767367</v>
      </c>
      <c r="H31" s="303">
        <f>AUX!L442</f>
        <v>0</v>
      </c>
      <c r="I31" s="303">
        <f>AUX!L440</f>
        <v>0</v>
      </c>
      <c r="J31" s="299">
        <f>AUX!L436</f>
        <v>55.96041669960006</v>
      </c>
      <c r="K31" s="151"/>
      <c r="L31" s="297">
        <f>AUX!L435</f>
        <v>18.010670472695143</v>
      </c>
      <c r="M31" s="340"/>
      <c r="O31" s="150"/>
    </row>
    <row r="32" spans="1:19" ht="21.95" customHeight="1">
      <c r="A32" s="504"/>
      <c r="B32" s="884"/>
      <c r="C32" s="276" t="s">
        <v>221</v>
      </c>
      <c r="D32" s="159" t="s">
        <v>13</v>
      </c>
      <c r="E32" s="159">
        <v>2012</v>
      </c>
      <c r="F32" s="159" t="s">
        <v>78</v>
      </c>
      <c r="G32" s="303">
        <f>AUX!M441</f>
        <v>37.299297589801945</v>
      </c>
      <c r="H32" s="303">
        <f>AUX!M442</f>
        <v>0</v>
      </c>
      <c r="I32" s="303">
        <f>AUX!M440</f>
        <v>0</v>
      </c>
      <c r="J32" s="299">
        <f>AUX!M436</f>
        <v>77.141690922061031</v>
      </c>
      <c r="K32" s="151"/>
      <c r="L32" s="297">
        <f>AUX!M435</f>
        <v>19.867095978625745</v>
      </c>
      <c r="M32" s="504"/>
      <c r="O32" s="150"/>
    </row>
    <row r="33" spans="1:15" ht="26.1" customHeight="1">
      <c r="A33" s="517"/>
      <c r="B33" s="884"/>
      <c r="C33" s="276" t="s">
        <v>494</v>
      </c>
      <c r="D33" s="159" t="s">
        <v>13</v>
      </c>
      <c r="E33" s="159">
        <v>2011</v>
      </c>
      <c r="F33" s="159" t="s">
        <v>114</v>
      </c>
      <c r="G33" s="303">
        <f>AUX!N441</f>
        <v>18.812084970163585</v>
      </c>
      <c r="H33" s="303">
        <f>AUX!N442</f>
        <v>0</v>
      </c>
      <c r="I33" s="303">
        <f>AUX!N440</f>
        <v>0</v>
      </c>
      <c r="J33" s="299">
        <f>AUX!N436</f>
        <v>25.057691731351333</v>
      </c>
      <c r="K33" s="151"/>
      <c r="L33" s="297">
        <f>AUX!N435</f>
        <v>13.703381020324844</v>
      </c>
      <c r="M33" s="517"/>
      <c r="O33" s="150"/>
    </row>
    <row r="34" spans="1:15" ht="26.1" customHeight="1">
      <c r="A34" s="264"/>
      <c r="B34" s="885"/>
      <c r="C34" s="276" t="s">
        <v>115</v>
      </c>
      <c r="D34" s="159" t="s">
        <v>13</v>
      </c>
      <c r="E34" s="159">
        <v>2009</v>
      </c>
      <c r="F34" s="159" t="s">
        <v>114</v>
      </c>
      <c r="G34" s="303">
        <f>AUX!O441</f>
        <v>95.182321477673753</v>
      </c>
      <c r="H34" s="303">
        <f>AUX!O442</f>
        <v>0</v>
      </c>
      <c r="I34" s="303">
        <f>AUX!O440</f>
        <v>0</v>
      </c>
      <c r="J34" s="300">
        <f>AUX!O435</f>
        <v>62.027965279246153</v>
      </c>
      <c r="K34" s="295"/>
      <c r="L34" s="347">
        <f>AUX!O436</f>
        <v>100</v>
      </c>
      <c r="M34" s="264"/>
      <c r="O34" s="150"/>
    </row>
    <row r="35" spans="1:15" ht="9.9499999999999993" customHeight="1">
      <c r="A35" s="264"/>
      <c r="B35" s="264"/>
      <c r="C35" s="264"/>
      <c r="D35" s="264"/>
      <c r="E35" s="264"/>
      <c r="F35" s="264"/>
      <c r="G35" s="264"/>
      <c r="H35" s="264"/>
      <c r="I35" s="264"/>
      <c r="J35" s="264"/>
      <c r="K35" s="264"/>
      <c r="L35" s="264"/>
      <c r="M35" s="264"/>
    </row>
    <row r="36" spans="1:15" ht="12" customHeight="1">
      <c r="A36" s="264"/>
      <c r="B36" s="902" t="s">
        <v>6</v>
      </c>
      <c r="C36" s="902"/>
      <c r="D36" s="902"/>
      <c r="E36" s="902"/>
      <c r="F36" s="902"/>
      <c r="G36" s="902"/>
      <c r="H36" s="902"/>
      <c r="I36" s="902"/>
      <c r="J36" s="269"/>
      <c r="K36" s="264"/>
      <c r="L36" s="264"/>
      <c r="M36" s="264"/>
    </row>
    <row r="37" spans="1:15" ht="5.0999999999999996" customHeight="1">
      <c r="A37" s="264"/>
      <c r="B37" s="903"/>
      <c r="C37" s="903"/>
      <c r="D37" s="903"/>
      <c r="E37" s="903"/>
      <c r="F37" s="903"/>
      <c r="G37" s="903"/>
      <c r="H37" s="903"/>
      <c r="I37" s="903"/>
      <c r="J37" s="306"/>
      <c r="K37" s="322"/>
      <c r="L37" s="322"/>
      <c r="M37" s="264"/>
    </row>
    <row r="38" spans="1:15" ht="5.0999999999999996" customHeight="1">
      <c r="A38" s="146"/>
      <c r="B38" s="146"/>
      <c r="C38" s="146"/>
      <c r="D38" s="146"/>
      <c r="E38" s="146"/>
      <c r="F38" s="146"/>
      <c r="G38" s="146"/>
      <c r="H38" s="146"/>
      <c r="I38" s="146"/>
      <c r="J38" s="264"/>
      <c r="K38" s="146"/>
      <c r="L38" s="264"/>
      <c r="M38" s="146"/>
    </row>
    <row r="39" spans="1:15" ht="35.1" customHeight="1">
      <c r="A39" s="146"/>
      <c r="B39" s="946"/>
      <c r="C39" s="280" t="s">
        <v>72</v>
      </c>
      <c r="D39" s="281" t="s">
        <v>79</v>
      </c>
      <c r="E39" s="281" t="s">
        <v>70</v>
      </c>
      <c r="F39" s="281" t="s">
        <v>71</v>
      </c>
      <c r="G39" s="282" t="s">
        <v>16</v>
      </c>
      <c r="H39" s="511">
        <f>AUX!A2</f>
        <v>0</v>
      </c>
      <c r="I39" s="283">
        <f>PLS!C5</f>
        <v>0</v>
      </c>
      <c r="J39" s="313" t="s">
        <v>271</v>
      </c>
      <c r="K39" s="311"/>
      <c r="L39" s="319" t="s">
        <v>272</v>
      </c>
      <c r="M39" s="146"/>
      <c r="O39" s="150"/>
    </row>
    <row r="40" spans="1:15" ht="21.95" customHeight="1">
      <c r="A40" s="308"/>
      <c r="B40" s="947"/>
      <c r="C40" s="286" t="s">
        <v>225</v>
      </c>
      <c r="D40" s="350" t="s">
        <v>15</v>
      </c>
      <c r="E40" s="351" t="s">
        <v>297</v>
      </c>
      <c r="F40" s="350" t="s">
        <v>114</v>
      </c>
      <c r="G40" s="336">
        <f>AUX!R441</f>
        <v>3.7006663249615581</v>
      </c>
      <c r="H40" s="336">
        <f>AUX!R442</f>
        <v>0</v>
      </c>
      <c r="I40" s="336">
        <f>AUX!R440</f>
        <v>0</v>
      </c>
      <c r="J40" s="299">
        <f>AUX!R436</f>
        <v>7.2761784245491929</v>
      </c>
      <c r="K40" s="294"/>
      <c r="L40" s="297">
        <f>AUX!R435</f>
        <v>2.0610801865503232</v>
      </c>
      <c r="M40" s="308"/>
      <c r="O40" s="150"/>
    </row>
    <row r="41" spans="1:15" ht="21.95" customHeight="1">
      <c r="A41" s="146"/>
      <c r="B41" s="947"/>
      <c r="C41" s="286" t="s">
        <v>226</v>
      </c>
      <c r="D41" s="350" t="s">
        <v>15</v>
      </c>
      <c r="E41" s="351" t="s">
        <v>297</v>
      </c>
      <c r="F41" s="350" t="s">
        <v>114</v>
      </c>
      <c r="G41" s="336">
        <f>AUX!S441</f>
        <v>23.650142783920334</v>
      </c>
      <c r="H41" s="336">
        <f>AUX!S442</f>
        <v>0</v>
      </c>
      <c r="I41" s="336">
        <f>AUX!S440</f>
        <v>0</v>
      </c>
      <c r="J41" s="299">
        <f>AUX!S436</f>
        <v>34.295507847735884</v>
      </c>
      <c r="K41" s="151"/>
      <c r="L41" s="297">
        <f>AUX!S435</f>
        <v>18.138907619689817</v>
      </c>
      <c r="M41" s="146"/>
      <c r="O41" s="150"/>
    </row>
    <row r="42" spans="1:15" ht="18" customHeight="1">
      <c r="A42" s="517"/>
      <c r="B42" s="947"/>
      <c r="C42" s="891" t="s">
        <v>477</v>
      </c>
      <c r="D42" s="892"/>
      <c r="E42" s="892"/>
      <c r="F42" s="892"/>
      <c r="G42" s="892"/>
      <c r="H42" s="892"/>
      <c r="I42" s="892"/>
      <c r="J42" s="892"/>
      <c r="K42" s="892"/>
      <c r="L42" s="893"/>
      <c r="M42" s="517"/>
    </row>
    <row r="43" spans="1:15" ht="21.95" customHeight="1">
      <c r="A43" s="517"/>
      <c r="B43" s="947"/>
      <c r="C43" s="286" t="s">
        <v>482</v>
      </c>
      <c r="D43" s="350" t="s">
        <v>13</v>
      </c>
      <c r="E43" s="526">
        <v>41609</v>
      </c>
      <c r="F43" s="350" t="s">
        <v>114</v>
      </c>
      <c r="G43" s="336">
        <f>AUX!T441</f>
        <v>6.7789068298438462</v>
      </c>
      <c r="H43" s="336">
        <f>AUX!T442</f>
        <v>0</v>
      </c>
      <c r="I43" s="336">
        <f>AUX!T440</f>
        <v>0</v>
      </c>
      <c r="J43" s="299">
        <f>AUX!T436</f>
        <v>14.229366165070678</v>
      </c>
      <c r="K43" s="151"/>
      <c r="L43" s="297">
        <f>AUX!T435</f>
        <v>1.9789695710164708</v>
      </c>
      <c r="M43" s="517"/>
      <c r="O43" s="150"/>
    </row>
    <row r="44" spans="1:15" ht="21.95" customHeight="1">
      <c r="A44" s="517"/>
      <c r="B44" s="947"/>
      <c r="C44" s="286" t="s">
        <v>483</v>
      </c>
      <c r="D44" s="350" t="s">
        <v>13</v>
      </c>
      <c r="E44" s="526">
        <v>41609</v>
      </c>
      <c r="F44" s="350" t="s">
        <v>114</v>
      </c>
      <c r="G44" s="336">
        <f>AUX!U441</f>
        <v>3.9241026794677487</v>
      </c>
      <c r="H44" s="336">
        <f>AUX!U442</f>
        <v>0</v>
      </c>
      <c r="I44" s="336">
        <f>AUX!U440</f>
        <v>0</v>
      </c>
      <c r="J44" s="299">
        <f>AUX!U436</f>
        <v>8.6239409311837676</v>
      </c>
      <c r="K44" s="151"/>
      <c r="L44" s="297">
        <f>AUX!U435</f>
        <v>0.88811959087332815</v>
      </c>
      <c r="M44" s="517"/>
      <c r="O44" s="150"/>
    </row>
    <row r="45" spans="1:15" ht="21.95" customHeight="1">
      <c r="A45" s="517"/>
      <c r="B45" s="948"/>
      <c r="C45" s="286" t="s">
        <v>484</v>
      </c>
      <c r="D45" s="350" t="s">
        <v>13</v>
      </c>
      <c r="E45" s="526">
        <v>41609</v>
      </c>
      <c r="F45" s="350" t="s">
        <v>114</v>
      </c>
      <c r="G45" s="336">
        <f>AUX!V441</f>
        <v>0.97825492539290915</v>
      </c>
      <c r="H45" s="336">
        <f>AUX!V442</f>
        <v>0</v>
      </c>
      <c r="I45" s="336">
        <f>AUX!V440</f>
        <v>0</v>
      </c>
      <c r="J45" s="300">
        <f>AUX!V436</f>
        <v>2.5139775566041478</v>
      </c>
      <c r="K45" s="295"/>
      <c r="L45" s="347">
        <f>AUX!V435</f>
        <v>0.38403684064571969</v>
      </c>
      <c r="M45" s="517"/>
      <c r="O45" s="150"/>
    </row>
    <row r="46" spans="1:15" ht="15" customHeight="1">
      <c r="A46" s="146"/>
      <c r="B46" s="146"/>
      <c r="C46" s="146"/>
      <c r="D46" s="146"/>
      <c r="E46" s="146"/>
      <c r="F46" s="146"/>
      <c r="G46" s="146"/>
      <c r="H46" s="146"/>
      <c r="I46" s="146"/>
      <c r="J46" s="264"/>
      <c r="K46" s="146"/>
      <c r="L46" s="264"/>
      <c r="M46" s="146"/>
    </row>
    <row r="47" spans="1:15" ht="12" customHeight="1">
      <c r="A47" s="146"/>
      <c r="B47" s="870" t="s">
        <v>7</v>
      </c>
      <c r="C47" s="870"/>
      <c r="D47" s="870"/>
      <c r="E47" s="870"/>
      <c r="F47" s="870"/>
      <c r="G47" s="870"/>
      <c r="H47" s="870"/>
      <c r="I47" s="870"/>
      <c r="J47" s="267"/>
      <c r="K47" s="146"/>
      <c r="L47" s="264"/>
      <c r="M47" s="146"/>
    </row>
    <row r="48" spans="1:15" ht="5.0999999999999996" customHeight="1">
      <c r="A48" s="146"/>
      <c r="B48" s="871"/>
      <c r="C48" s="871"/>
      <c r="D48" s="871"/>
      <c r="E48" s="871"/>
      <c r="F48" s="871"/>
      <c r="G48" s="871"/>
      <c r="H48" s="871"/>
      <c r="I48" s="871"/>
      <c r="J48" s="268"/>
      <c r="K48" s="323"/>
      <c r="L48" s="323"/>
      <c r="M48" s="146"/>
    </row>
    <row r="49" spans="1:13" ht="5.0999999999999996" customHeight="1">
      <c r="A49" s="146"/>
      <c r="B49" s="146"/>
      <c r="C49" s="146"/>
      <c r="D49" s="146"/>
      <c r="E49" s="146"/>
      <c r="F49" s="146"/>
      <c r="G49" s="146"/>
      <c r="H49" s="146"/>
      <c r="I49" s="146"/>
      <c r="J49" s="264"/>
      <c r="K49" s="146"/>
      <c r="L49" s="264"/>
      <c r="M49" s="146"/>
    </row>
    <row r="50" spans="1:13" ht="35.1" customHeight="1">
      <c r="A50" s="146"/>
      <c r="B50" s="876"/>
      <c r="C50" s="164" t="s">
        <v>72</v>
      </c>
      <c r="D50" s="160" t="s">
        <v>79</v>
      </c>
      <c r="E50" s="160" t="s">
        <v>70</v>
      </c>
      <c r="F50" s="160" t="s">
        <v>71</v>
      </c>
      <c r="G50" s="284" t="s">
        <v>16</v>
      </c>
      <c r="H50" s="510">
        <f>AUX!A2</f>
        <v>0</v>
      </c>
      <c r="I50" s="285">
        <f>PLS!C5</f>
        <v>0</v>
      </c>
      <c r="J50" s="316" t="s">
        <v>271</v>
      </c>
      <c r="K50" s="312"/>
      <c r="L50" s="320" t="s">
        <v>272</v>
      </c>
      <c r="M50" s="146"/>
    </row>
    <row r="51" spans="1:13" ht="21.95" customHeight="1">
      <c r="A51" s="340"/>
      <c r="B51" s="877"/>
      <c r="C51" s="287" t="s">
        <v>232</v>
      </c>
      <c r="D51" s="160" t="s">
        <v>13</v>
      </c>
      <c r="E51" s="352" t="s">
        <v>297</v>
      </c>
      <c r="F51" s="161" t="s">
        <v>114</v>
      </c>
      <c r="G51" s="288">
        <f>AUX!Z441</f>
        <v>8.4403602548143795</v>
      </c>
      <c r="H51" s="288">
        <f>AUX!Z442</f>
        <v>0</v>
      </c>
      <c r="I51" s="289">
        <f>AUX!Z440</f>
        <v>0</v>
      </c>
      <c r="J51" s="299">
        <f>AUX!Z436</f>
        <v>10.368271954674221</v>
      </c>
      <c r="K51" s="151"/>
      <c r="L51" s="297">
        <f>AUX!Z435</f>
        <v>6.3819421890224106</v>
      </c>
      <c r="M51" s="340"/>
    </row>
    <row r="52" spans="1:13" ht="21.95" customHeight="1">
      <c r="A52" s="146"/>
      <c r="B52" s="877"/>
      <c r="C52" s="287" t="s">
        <v>110</v>
      </c>
      <c r="D52" s="160" t="s">
        <v>13</v>
      </c>
      <c r="E52" s="160">
        <v>2012</v>
      </c>
      <c r="F52" s="161" t="s">
        <v>78</v>
      </c>
      <c r="G52" s="288">
        <f>AUX!AA441</f>
        <v>10.276886047948638</v>
      </c>
      <c r="H52" s="288">
        <f>AUX!AA442</f>
        <v>0</v>
      </c>
      <c r="I52" s="289">
        <f>AUX!AA440</f>
        <v>0</v>
      </c>
      <c r="J52" s="299"/>
      <c r="K52" s="564" t="s">
        <v>282</v>
      </c>
      <c r="L52" s="297"/>
      <c r="M52" s="146"/>
    </row>
    <row r="53" spans="1:13" ht="21.95" customHeight="1">
      <c r="A53" s="340"/>
      <c r="B53" s="877"/>
      <c r="C53" s="287" t="s">
        <v>111</v>
      </c>
      <c r="D53" s="160" t="s">
        <v>13</v>
      </c>
      <c r="E53" s="352" t="s">
        <v>297</v>
      </c>
      <c r="F53" s="161" t="s">
        <v>78</v>
      </c>
      <c r="G53" s="274">
        <f>AUX!AB441</f>
        <v>2.9435562113063312</v>
      </c>
      <c r="H53" s="274">
        <f>AUX!AB442</f>
        <v>0</v>
      </c>
      <c r="I53" s="290">
        <f>AUX!AB440</f>
        <v>0</v>
      </c>
      <c r="J53" s="299">
        <f>AUX!AB436</f>
        <v>7.8657577346617717</v>
      </c>
      <c r="K53" s="151"/>
      <c r="L53" s="297">
        <f>AUX!AB435</f>
        <v>0.70126227208976155</v>
      </c>
      <c r="M53" s="340"/>
    </row>
    <row r="54" spans="1:13" ht="21.95" customHeight="1">
      <c r="A54" s="340"/>
      <c r="B54" s="877"/>
      <c r="C54" s="287" t="s">
        <v>128</v>
      </c>
      <c r="D54" s="160" t="s">
        <v>13</v>
      </c>
      <c r="E54" s="352" t="s">
        <v>297</v>
      </c>
      <c r="F54" s="161" t="s">
        <v>78</v>
      </c>
      <c r="G54" s="274">
        <f>AUX!AC441</f>
        <v>2.050238157128788</v>
      </c>
      <c r="H54" s="274">
        <f>AUX!AC442</f>
        <v>0</v>
      </c>
      <c r="I54" s="290">
        <f>AUX!AC440</f>
        <v>0</v>
      </c>
      <c r="J54" s="299">
        <f>AUX!AC436</f>
        <v>4.7194546407970632</v>
      </c>
      <c r="K54" s="151"/>
      <c r="L54" s="297">
        <f>AUX!AC435</f>
        <v>0.39432176656151419</v>
      </c>
      <c r="M54" s="340"/>
    </row>
    <row r="55" spans="1:13" ht="21.95" customHeight="1">
      <c r="A55" s="146"/>
      <c r="B55" s="877"/>
      <c r="C55" s="287" t="s">
        <v>224</v>
      </c>
      <c r="D55" s="160" t="s">
        <v>13</v>
      </c>
      <c r="E55" s="352" t="s">
        <v>297</v>
      </c>
      <c r="F55" s="161" t="s">
        <v>78</v>
      </c>
      <c r="G55" s="274">
        <f>AUX!AD441</f>
        <v>3.7837423256867164</v>
      </c>
      <c r="H55" s="274">
        <f>AUX!AD442</f>
        <v>0</v>
      </c>
      <c r="I55" s="290">
        <f>AUX!AD440</f>
        <v>0</v>
      </c>
      <c r="J55" s="300">
        <f>AUX!AD436</f>
        <v>7.5519194461925743</v>
      </c>
      <c r="K55" s="295"/>
      <c r="L55" s="347">
        <f>AUX!AD435</f>
        <v>1.1398176291793312</v>
      </c>
      <c r="M55" s="146"/>
    </row>
    <row r="56" spans="1:13" ht="18" customHeight="1">
      <c r="A56" s="146"/>
      <c r="B56" s="877"/>
      <c r="C56" s="861" t="s">
        <v>556</v>
      </c>
      <c r="D56" s="859"/>
      <c r="E56" s="859"/>
      <c r="F56" s="859"/>
      <c r="G56" s="859"/>
      <c r="H56" s="859"/>
      <c r="I56" s="859"/>
      <c r="J56" s="859"/>
      <c r="K56" s="859"/>
      <c r="L56" s="860"/>
      <c r="M56" s="146"/>
    </row>
    <row r="57" spans="1:13" ht="21.95" customHeight="1">
      <c r="A57" s="146"/>
      <c r="B57" s="877"/>
      <c r="C57" s="865" t="s">
        <v>188</v>
      </c>
      <c r="D57" s="160" t="s">
        <v>14</v>
      </c>
      <c r="E57" s="867" t="s">
        <v>212</v>
      </c>
      <c r="F57" s="869" t="s">
        <v>116</v>
      </c>
      <c r="G57" s="274">
        <f>AUX!AE441</f>
        <v>33.228092566603358</v>
      </c>
      <c r="H57" s="274">
        <f>AUX!AE442</f>
        <v>0</v>
      </c>
      <c r="I57" s="290" t="str">
        <f>IF(AUX!AE440=0,"",AUX!AE440)</f>
        <v/>
      </c>
      <c r="J57" s="299">
        <f>AUX!AE436</f>
        <v>53.26985938872317</v>
      </c>
      <c r="K57" s="294"/>
      <c r="L57" s="297">
        <f>AUX!AE435</f>
        <v>14.020923084074463</v>
      </c>
      <c r="M57" s="146"/>
    </row>
    <row r="58" spans="1:13" ht="21.95" customHeight="1">
      <c r="A58" s="146"/>
      <c r="B58" s="877"/>
      <c r="C58" s="866"/>
      <c r="D58" s="160" t="s">
        <v>15</v>
      </c>
      <c r="E58" s="868"/>
      <c r="F58" s="868"/>
      <c r="G58" s="274">
        <f>AUX!AF441</f>
        <v>6.6755188563378187</v>
      </c>
      <c r="H58" s="274">
        <f>AUX!AF442</f>
        <v>0</v>
      </c>
      <c r="I58" s="290" t="str">
        <f>IF(AUX!AF440=0,"",AUX!AF440)</f>
        <v/>
      </c>
      <c r="J58" s="299">
        <f>AUX!AF436</f>
        <v>12.8445770982682</v>
      </c>
      <c r="K58" s="151"/>
      <c r="L58" s="297">
        <f>AUX!AF435</f>
        <v>2.6044361754265881</v>
      </c>
      <c r="M58" s="146"/>
    </row>
    <row r="59" spans="1:13" ht="21.95" customHeight="1">
      <c r="A59" s="146"/>
      <c r="B59" s="877"/>
      <c r="C59" s="865" t="s">
        <v>186</v>
      </c>
      <c r="D59" s="160" t="s">
        <v>14</v>
      </c>
      <c r="E59" s="867" t="s">
        <v>212</v>
      </c>
      <c r="F59" s="869" t="s">
        <v>116</v>
      </c>
      <c r="G59" s="274">
        <f>AUX!AG441</f>
        <v>14.000953119314378</v>
      </c>
      <c r="H59" s="274">
        <f>AUX!AG442</f>
        <v>0</v>
      </c>
      <c r="I59" s="290" t="str">
        <f>IF(AUX!AG440=0,"",AUX!AG440)</f>
        <v/>
      </c>
      <c r="J59" s="299">
        <f>AUX!AG436</f>
        <v>32.66872274305463</v>
      </c>
      <c r="K59" s="151"/>
      <c r="L59" s="297">
        <f>AUX!AG435</f>
        <v>8.3351340923644202</v>
      </c>
      <c r="M59" s="146"/>
    </row>
    <row r="60" spans="1:13" ht="21.95" customHeight="1">
      <c r="A60" s="146"/>
      <c r="B60" s="877"/>
      <c r="C60" s="866"/>
      <c r="D60" s="160" t="s">
        <v>15</v>
      </c>
      <c r="E60" s="868"/>
      <c r="F60" s="868"/>
      <c r="G60" s="274">
        <f>AUX!AH441</f>
        <v>6.0981394210288338</v>
      </c>
      <c r="H60" s="274">
        <f>AUX!AH442</f>
        <v>0</v>
      </c>
      <c r="I60" s="290" t="str">
        <f>IF(AUX!AH440=0,"",AUX!AH440)</f>
        <v/>
      </c>
      <c r="J60" s="299">
        <f>AUX!AH436</f>
        <v>15.061582315106245</v>
      </c>
      <c r="K60" s="151"/>
      <c r="L60" s="297">
        <f>AUX!AH435</f>
        <v>3.0153641832806888</v>
      </c>
      <c r="M60" s="146"/>
    </row>
    <row r="61" spans="1:13" ht="21.95" customHeight="1">
      <c r="A61" s="146"/>
      <c r="B61" s="877"/>
      <c r="C61" s="287" t="s">
        <v>372</v>
      </c>
      <c r="D61" s="160" t="s">
        <v>15</v>
      </c>
      <c r="E61" s="349" t="s">
        <v>212</v>
      </c>
      <c r="F61" s="270" t="s">
        <v>116</v>
      </c>
      <c r="G61" s="274">
        <f>AUX!AI441</f>
        <v>15.347011518209854</v>
      </c>
      <c r="H61" s="274">
        <f>AUX!AI442</f>
        <v>0</v>
      </c>
      <c r="I61" s="290" t="str">
        <f>IF(AUX!AI440=0,"",AUX!AI440)</f>
        <v/>
      </c>
      <c r="J61" s="299">
        <f>AUX!AI436</f>
        <v>23.238311987824915</v>
      </c>
      <c r="K61" s="151"/>
      <c r="L61" s="297">
        <f>AUX!AI435</f>
        <v>7.0831404616562628</v>
      </c>
      <c r="M61" s="146"/>
    </row>
    <row r="62" spans="1:13" ht="21.95" customHeight="1">
      <c r="A62" s="146"/>
      <c r="B62" s="877"/>
      <c r="C62" s="865" t="s">
        <v>31</v>
      </c>
      <c r="D62" s="160" t="s">
        <v>14</v>
      </c>
      <c r="E62" s="867" t="s">
        <v>212</v>
      </c>
      <c r="F62" s="869" t="s">
        <v>116</v>
      </c>
      <c r="G62" s="274">
        <f>AUX!AJ441</f>
        <v>26.765370126739437</v>
      </c>
      <c r="H62" s="274">
        <f>AUX!AJ442</f>
        <v>0</v>
      </c>
      <c r="I62" s="290" t="str">
        <f>IF(AUX!AJ440=0,"",AUX!AJ440)</f>
        <v/>
      </c>
      <c r="J62" s="299">
        <f>AUX!AJ436</f>
        <v>64.460287586107285</v>
      </c>
      <c r="K62" s="151"/>
      <c r="L62" s="297">
        <f>AUX!AJ435</f>
        <v>9.566846164440685</v>
      </c>
      <c r="M62" s="146"/>
    </row>
    <row r="63" spans="1:13" ht="21.95" customHeight="1">
      <c r="A63" s="146"/>
      <c r="B63" s="877"/>
      <c r="C63" s="866"/>
      <c r="D63" s="160" t="s">
        <v>15</v>
      </c>
      <c r="E63" s="868"/>
      <c r="F63" s="868"/>
      <c r="G63" s="274">
        <f>AUX!AK441</f>
        <v>8.0885097158697956</v>
      </c>
      <c r="H63" s="274">
        <f>AUX!AK442</f>
        <v>0</v>
      </c>
      <c r="I63" s="290" t="str">
        <f>IF(AUX!AK440=0,"",AUX!AK440)</f>
        <v/>
      </c>
      <c r="J63" s="299">
        <f>AUX!AK436</f>
        <v>17.332581730909734</v>
      </c>
      <c r="K63" s="151"/>
      <c r="L63" s="297">
        <f>AUX!AK435</f>
        <v>2.6067900209423636</v>
      </c>
      <c r="M63" s="146"/>
    </row>
    <row r="64" spans="1:13" ht="21.95" customHeight="1">
      <c r="A64" s="146"/>
      <c r="B64" s="877"/>
      <c r="C64" s="865" t="s">
        <v>32</v>
      </c>
      <c r="D64" s="160" t="s">
        <v>14</v>
      </c>
      <c r="E64" s="867" t="s">
        <v>212</v>
      </c>
      <c r="F64" s="869" t="s">
        <v>116</v>
      </c>
      <c r="G64" s="274">
        <f>AUX!AL441</f>
        <v>26.994411477403094</v>
      </c>
      <c r="H64" s="274">
        <f>AUX!AL442</f>
        <v>0</v>
      </c>
      <c r="I64" s="290" t="str">
        <f>IF(AUX!AL440=0,"",AUX!AL440)</f>
        <v/>
      </c>
      <c r="J64" s="299">
        <f>AUX!AL436</f>
        <v>43.670623215950776</v>
      </c>
      <c r="K64" s="151"/>
      <c r="L64" s="297">
        <f>AUX!AL435</f>
        <v>17.1500742822669</v>
      </c>
      <c r="M64" s="146"/>
    </row>
    <row r="65" spans="1:13" ht="21.95" customHeight="1">
      <c r="A65" s="146"/>
      <c r="B65" s="877"/>
      <c r="C65" s="866"/>
      <c r="D65" s="160" t="s">
        <v>15</v>
      </c>
      <c r="E65" s="868"/>
      <c r="F65" s="868"/>
      <c r="G65" s="274">
        <f>AUX!AM441</f>
        <v>14.194377084394555</v>
      </c>
      <c r="H65" s="274">
        <f>AUX!AM442</f>
        <v>0</v>
      </c>
      <c r="I65" s="290" t="str">
        <f>IF(AUX!AM440=0,"",AUX!AM440)</f>
        <v/>
      </c>
      <c r="J65" s="299">
        <f>AUX!AM436</f>
        <v>22.936421229108053</v>
      </c>
      <c r="K65" s="151"/>
      <c r="L65" s="297">
        <f>AUX!AM435</f>
        <v>8.7169156007905606</v>
      </c>
      <c r="M65" s="146"/>
    </row>
    <row r="66" spans="1:13" ht="21.95" customHeight="1">
      <c r="A66" s="146"/>
      <c r="B66" s="877"/>
      <c r="C66" s="865" t="s">
        <v>377</v>
      </c>
      <c r="D66" s="160" t="s">
        <v>14</v>
      </c>
      <c r="E66" s="867" t="s">
        <v>212</v>
      </c>
      <c r="F66" s="869" t="s">
        <v>116</v>
      </c>
      <c r="G66" s="274">
        <f>AUX!AN441</f>
        <v>15.769363344260206</v>
      </c>
      <c r="H66" s="274">
        <f>AUX!AN442</f>
        <v>0</v>
      </c>
      <c r="I66" s="290" t="str">
        <f>IF(AUX!AN440=0,"",AUX!AN440)</f>
        <v/>
      </c>
      <c r="J66" s="299">
        <f>AUX!AN436</f>
        <v>49.199616496617857</v>
      </c>
      <c r="K66" s="151"/>
      <c r="L66" s="297">
        <f>AUX!AN435</f>
        <v>7.8898638437711552</v>
      </c>
      <c r="M66" s="146"/>
    </row>
    <row r="67" spans="1:13" ht="21.95" customHeight="1">
      <c r="A67" s="146"/>
      <c r="B67" s="877"/>
      <c r="C67" s="866"/>
      <c r="D67" s="160" t="s">
        <v>15</v>
      </c>
      <c r="E67" s="868"/>
      <c r="F67" s="868"/>
      <c r="G67" s="274">
        <f>AUX!AO441</f>
        <v>3.6115602820940511</v>
      </c>
      <c r="H67" s="274">
        <f>AUX!AO442</f>
        <v>0</v>
      </c>
      <c r="I67" s="290" t="str">
        <f>IF(AUX!AO440=0,"",AUX!AO440)</f>
        <v/>
      </c>
      <c r="J67" s="299">
        <f>AUX!AO436</f>
        <v>12.74538808498313</v>
      </c>
      <c r="K67" s="151"/>
      <c r="L67" s="297">
        <f>AUX!AO435</f>
        <v>0.6218201446489785</v>
      </c>
      <c r="M67" s="146"/>
    </row>
    <row r="68" spans="1:13" ht="21.95" customHeight="1">
      <c r="A68" s="146"/>
      <c r="B68" s="877"/>
      <c r="C68" s="865" t="s">
        <v>34</v>
      </c>
      <c r="D68" s="160" t="s">
        <v>14</v>
      </c>
      <c r="E68" s="867" t="s">
        <v>212</v>
      </c>
      <c r="F68" s="869" t="s">
        <v>116</v>
      </c>
      <c r="G68" s="274">
        <f>AUX!AP441</f>
        <v>12.945922208158889</v>
      </c>
      <c r="H68" s="274">
        <f>AUX!AP442</f>
        <v>0</v>
      </c>
      <c r="I68" s="290" t="str">
        <f>IF(AUX!AP440=0,"",AUX!AP440)</f>
        <v/>
      </c>
      <c r="J68" s="299">
        <f>AUX!AP436</f>
        <v>30.270050623064385</v>
      </c>
      <c r="K68" s="151"/>
      <c r="L68" s="297">
        <f>AUX!AP435</f>
        <v>3.2525829626118887</v>
      </c>
      <c r="M68" s="146"/>
    </row>
    <row r="69" spans="1:13" ht="21.95" customHeight="1">
      <c r="A69" s="146"/>
      <c r="B69" s="877"/>
      <c r="C69" s="866"/>
      <c r="D69" s="160" t="s">
        <v>15</v>
      </c>
      <c r="E69" s="868"/>
      <c r="F69" s="868"/>
      <c r="G69" s="274">
        <f>AUX!AQ441</f>
        <v>3.2583734608994184</v>
      </c>
      <c r="H69" s="274">
        <f>AUX!AQ442</f>
        <v>0</v>
      </c>
      <c r="I69" s="290" t="str">
        <f>IF(AUX!AQ440=0,"",AUX!AQ440)</f>
        <v/>
      </c>
      <c r="J69" s="299">
        <f>AUX!AQ436</f>
        <v>11.34792518490455</v>
      </c>
      <c r="K69" s="295"/>
      <c r="L69" s="347">
        <f>AUX!AQ435</f>
        <v>0.61653464548161896</v>
      </c>
      <c r="M69" s="146"/>
    </row>
    <row r="70" spans="1:13" ht="18" customHeight="1">
      <c r="A70" s="146"/>
      <c r="B70" s="877"/>
      <c r="C70" s="858" t="s">
        <v>478</v>
      </c>
      <c r="D70" s="859"/>
      <c r="E70" s="859"/>
      <c r="F70" s="859"/>
      <c r="G70" s="859"/>
      <c r="H70" s="859"/>
      <c r="I70" s="859"/>
      <c r="J70" s="859"/>
      <c r="K70" s="859"/>
      <c r="L70" s="860"/>
      <c r="M70" s="146"/>
    </row>
    <row r="71" spans="1:13" ht="21.95" customHeight="1">
      <c r="A71" s="146"/>
      <c r="B71" s="877"/>
      <c r="C71" s="287" t="s">
        <v>420</v>
      </c>
      <c r="D71" s="160" t="s">
        <v>13</v>
      </c>
      <c r="E71" s="513">
        <v>41609</v>
      </c>
      <c r="F71" s="270" t="s">
        <v>114</v>
      </c>
      <c r="G71" s="274">
        <f>AUX!AR441</f>
        <v>19.604573724483775</v>
      </c>
      <c r="H71" s="274">
        <f>AUX!AR442</f>
        <v>0</v>
      </c>
      <c r="I71" s="290">
        <f>AUX!AR440</f>
        <v>0</v>
      </c>
      <c r="J71" s="299">
        <f>AUX!AR436</f>
        <v>29.138620924966656</v>
      </c>
      <c r="K71" s="294"/>
      <c r="L71" s="297">
        <f>AUX!AR435</f>
        <v>13.637718951094824</v>
      </c>
      <c r="M71" s="146"/>
    </row>
    <row r="72" spans="1:13" ht="21.95" customHeight="1">
      <c r="A72" s="146"/>
      <c r="B72" s="877"/>
      <c r="C72" s="287" t="s">
        <v>459</v>
      </c>
      <c r="D72" s="160" t="s">
        <v>13</v>
      </c>
      <c r="E72" s="513">
        <v>41609</v>
      </c>
      <c r="F72" s="270" t="s">
        <v>114</v>
      </c>
      <c r="G72" s="274">
        <f>AUX!AS441</f>
        <v>16.646156843855412</v>
      </c>
      <c r="H72" s="274">
        <f>AUX!AS442</f>
        <v>0</v>
      </c>
      <c r="I72" s="290">
        <f>AUX!AS440</f>
        <v>0</v>
      </c>
      <c r="J72" s="299">
        <f>AUX!AS436</f>
        <v>30.816712267205943</v>
      </c>
      <c r="K72" s="151"/>
      <c r="L72" s="297">
        <f>AUX!AS435</f>
        <v>10.633799380892231</v>
      </c>
      <c r="M72" s="146"/>
    </row>
    <row r="73" spans="1:13" ht="21.95" customHeight="1">
      <c r="A73" s="146"/>
      <c r="B73" s="877"/>
      <c r="C73" s="287" t="s">
        <v>426</v>
      </c>
      <c r="D73" s="160" t="s">
        <v>13</v>
      </c>
      <c r="E73" s="513">
        <v>41609</v>
      </c>
      <c r="F73" s="270" t="s">
        <v>114</v>
      </c>
      <c r="G73" s="274">
        <f>AUX!AT441</f>
        <v>7.6372013897529758</v>
      </c>
      <c r="H73" s="274">
        <f>AUX!AT442</f>
        <v>0</v>
      </c>
      <c r="I73" s="290">
        <f>AUX!AT440</f>
        <v>0</v>
      </c>
      <c r="J73" s="299">
        <f>AUX!AT436</f>
        <v>11.737205242011822</v>
      </c>
      <c r="K73" s="151"/>
      <c r="L73" s="297">
        <f>AUX!AT435</f>
        <v>4.6731807005779604</v>
      </c>
      <c r="M73" s="146"/>
    </row>
    <row r="74" spans="1:13" ht="21.95" customHeight="1">
      <c r="A74" s="146"/>
      <c r="B74" s="877"/>
      <c r="C74" s="287" t="s">
        <v>433</v>
      </c>
      <c r="D74" s="160" t="s">
        <v>13</v>
      </c>
      <c r="E74" s="513">
        <v>41609</v>
      </c>
      <c r="F74" s="270" t="s">
        <v>114</v>
      </c>
      <c r="G74" s="274">
        <f>AUX!AU441</f>
        <v>6.9061522377659124</v>
      </c>
      <c r="H74" s="274">
        <f>AUX!AU442</f>
        <v>0</v>
      </c>
      <c r="I74" s="290">
        <f>AUX!AU440</f>
        <v>0</v>
      </c>
      <c r="J74" s="299">
        <f>AUX!AU436</f>
        <v>9.1201528175740201</v>
      </c>
      <c r="K74" s="151"/>
      <c r="L74" s="297">
        <f>AUX!AU435</f>
        <v>4.8728846543054187</v>
      </c>
      <c r="M74" s="146"/>
    </row>
    <row r="75" spans="1:13" ht="21.95" customHeight="1">
      <c r="A75" s="146"/>
      <c r="B75" s="877"/>
      <c r="C75" s="287" t="s">
        <v>430</v>
      </c>
      <c r="D75" s="160" t="s">
        <v>13</v>
      </c>
      <c r="E75" s="513">
        <v>41609</v>
      </c>
      <c r="F75" s="270" t="s">
        <v>114</v>
      </c>
      <c r="G75" s="274">
        <f>AUX!AV441</f>
        <v>5.1104281302880299</v>
      </c>
      <c r="H75" s="274">
        <f>AUX!AV442</f>
        <v>0</v>
      </c>
      <c r="I75" s="290">
        <f>AUX!AV440</f>
        <v>0</v>
      </c>
      <c r="J75" s="299">
        <f>AUX!AV436</f>
        <v>9.3445052439580483</v>
      </c>
      <c r="K75" s="151"/>
      <c r="L75" s="297">
        <f>AUX!AV435</f>
        <v>1.795121951219512</v>
      </c>
      <c r="M75" s="146"/>
    </row>
    <row r="76" spans="1:13" ht="6.95" customHeight="1">
      <c r="A76" s="146"/>
      <c r="B76" s="877"/>
      <c r="C76" s="879"/>
      <c r="D76" s="880"/>
      <c r="E76" s="880"/>
      <c r="F76" s="880"/>
      <c r="G76" s="880"/>
      <c r="H76" s="880"/>
      <c r="I76" s="880"/>
      <c r="J76" s="372"/>
      <c r="K76" s="375"/>
      <c r="L76" s="376"/>
      <c r="M76" s="146"/>
    </row>
    <row r="77" spans="1:13" ht="21.95" customHeight="1">
      <c r="A77" s="146"/>
      <c r="B77" s="877"/>
      <c r="C77" s="287" t="s">
        <v>479</v>
      </c>
      <c r="D77" s="160" t="s">
        <v>13</v>
      </c>
      <c r="E77" s="160">
        <v>2012</v>
      </c>
      <c r="F77" s="270" t="s">
        <v>116</v>
      </c>
      <c r="G77" s="274">
        <f>AUX!N404</f>
        <v>2.3591015361799461</v>
      </c>
      <c r="H77" s="274">
        <f>AUX!N405</f>
        <v>0</v>
      </c>
      <c r="I77" s="290">
        <f>AUX!N406</f>
        <v>0</v>
      </c>
      <c r="J77" s="299">
        <f>AUX!AZ436</f>
        <v>7.96883048874545</v>
      </c>
      <c r="K77" s="294"/>
      <c r="L77" s="297">
        <f>AUX!AZ435</f>
        <v>0</v>
      </c>
      <c r="M77" s="146"/>
    </row>
    <row r="78" spans="1:13" ht="21.95" customHeight="1">
      <c r="A78" s="146"/>
      <c r="B78" s="877"/>
      <c r="C78" s="287" t="s">
        <v>480</v>
      </c>
      <c r="D78" s="160" t="s">
        <v>13</v>
      </c>
      <c r="E78" s="160">
        <v>2012</v>
      </c>
      <c r="F78" s="270" t="s">
        <v>116</v>
      </c>
      <c r="G78" s="274">
        <f>AUX!N411</f>
        <v>7.3871865899872038</v>
      </c>
      <c r="H78" s="274">
        <f>AUX!N412</f>
        <v>0</v>
      </c>
      <c r="I78" s="290">
        <f>AUX!N413</f>
        <v>0</v>
      </c>
      <c r="J78" s="299">
        <f>AUX!BA436</f>
        <v>25.044895821771412</v>
      </c>
      <c r="K78" s="151"/>
      <c r="L78" s="297">
        <f>AUX!BA435</f>
        <v>0</v>
      </c>
      <c r="M78" s="146"/>
    </row>
    <row r="79" spans="1:13" ht="21.95" customHeight="1">
      <c r="A79" s="146"/>
      <c r="B79" s="878"/>
      <c r="C79" s="287" t="s">
        <v>481</v>
      </c>
      <c r="D79" s="160" t="s">
        <v>13</v>
      </c>
      <c r="E79" s="160">
        <v>2012</v>
      </c>
      <c r="F79" s="270" t="s">
        <v>116</v>
      </c>
      <c r="G79" s="274">
        <f>AUX!N419</f>
        <v>23.581019168849544</v>
      </c>
      <c r="H79" s="274">
        <f>AUX!N420</f>
        <v>0</v>
      </c>
      <c r="I79" s="290">
        <f>AUX!N421</f>
        <v>0</v>
      </c>
      <c r="J79" s="300">
        <f>AUX!BB436</f>
        <v>47.818562710629379</v>
      </c>
      <c r="K79" s="295"/>
      <c r="L79" s="347">
        <f>AUX!BB435</f>
        <v>6.5351311350946153</v>
      </c>
      <c r="M79" s="146"/>
    </row>
    <row r="80" spans="1:13" ht="14.1" customHeight="1">
      <c r="A80" s="146"/>
      <c r="B80" s="146"/>
      <c r="C80" s="649" t="s">
        <v>51</v>
      </c>
      <c r="D80" s="649"/>
      <c r="E80" s="649"/>
      <c r="F80" s="649"/>
      <c r="G80" s="146"/>
      <c r="H80" s="146"/>
      <c r="I80" s="146"/>
      <c r="J80" s="264"/>
      <c r="K80" s="146"/>
      <c r="L80" s="264"/>
      <c r="M80" s="146"/>
    </row>
    <row r="81" spans="1:13" ht="14.1" customHeight="1">
      <c r="A81" s="588"/>
      <c r="B81" s="588"/>
      <c r="C81" s="700" t="s">
        <v>522</v>
      </c>
      <c r="D81" s="700"/>
      <c r="E81" s="700"/>
      <c r="F81" s="700"/>
      <c r="G81" s="588"/>
      <c r="H81" s="588"/>
      <c r="I81" s="588"/>
      <c r="J81" s="588"/>
      <c r="K81" s="588"/>
      <c r="L81" s="588"/>
      <c r="M81" s="588"/>
    </row>
    <row r="82" spans="1:13" ht="14.1" customHeight="1">
      <c r="A82" s="384"/>
      <c r="B82" s="384"/>
      <c r="C82" s="881" t="s">
        <v>684</v>
      </c>
      <c r="D82" s="700"/>
      <c r="E82" s="700"/>
      <c r="F82" s="700"/>
      <c r="G82" s="384"/>
      <c r="H82" s="384"/>
      <c r="I82" s="384"/>
      <c r="J82" s="384"/>
      <c r="K82" s="384"/>
      <c r="L82" s="384"/>
      <c r="M82" s="384"/>
    </row>
    <row r="83" spans="1:13" ht="37.5" customHeight="1">
      <c r="A83" s="559"/>
      <c r="B83" s="559"/>
      <c r="C83" s="894" t="s">
        <v>687</v>
      </c>
      <c r="D83" s="894"/>
      <c r="E83" s="894"/>
      <c r="F83" s="894"/>
      <c r="G83" s="894"/>
      <c r="H83" s="894"/>
      <c r="I83" s="894"/>
      <c r="J83" s="894"/>
      <c r="K83" s="894"/>
      <c r="L83" s="894"/>
      <c r="M83" s="559"/>
    </row>
    <row r="84" spans="1:13" ht="14.1" customHeight="1">
      <c r="A84" s="395"/>
      <c r="B84" s="395"/>
      <c r="C84" s="666"/>
      <c r="D84" s="666"/>
      <c r="E84" s="666"/>
      <c r="F84" s="666"/>
      <c r="G84" s="395"/>
      <c r="H84" s="395"/>
      <c r="I84" s="395"/>
      <c r="J84" s="395"/>
      <c r="K84" s="395"/>
      <c r="L84" s="395"/>
      <c r="M84" s="395"/>
    </row>
    <row r="85" spans="1:13" ht="30" customHeight="1">
      <c r="A85" s="146"/>
      <c r="B85" s="146"/>
      <c r="C85" s="146"/>
      <c r="D85" s="146"/>
      <c r="E85" s="146"/>
      <c r="F85" s="146"/>
      <c r="G85" s="146"/>
      <c r="H85" s="146"/>
      <c r="I85" s="146"/>
      <c r="J85" s="264"/>
      <c r="K85" s="146"/>
      <c r="L85" s="264"/>
      <c r="M85" s="146"/>
    </row>
    <row r="86" spans="1:13" ht="15" customHeight="1">
      <c r="A86" s="146"/>
      <c r="B86" s="146"/>
      <c r="C86" s="146"/>
      <c r="D86" s="146"/>
      <c r="E86" s="146"/>
      <c r="F86" s="146"/>
      <c r="G86" s="146"/>
      <c r="H86" s="146"/>
      <c r="I86" s="146"/>
      <c r="J86" s="264"/>
      <c r="K86" s="146"/>
      <c r="L86" s="264"/>
      <c r="M86" s="146"/>
    </row>
    <row r="87" spans="1:13" ht="15" customHeight="1">
      <c r="A87" s="146"/>
      <c r="B87" s="146"/>
      <c r="C87" s="146"/>
      <c r="D87" s="146"/>
      <c r="E87" s="146"/>
      <c r="F87" s="146"/>
      <c r="G87" s="146"/>
      <c r="H87" s="146"/>
      <c r="I87" s="146"/>
      <c r="J87" s="264"/>
      <c r="K87" s="146"/>
      <c r="L87" s="264"/>
      <c r="M87" s="146"/>
    </row>
    <row r="88" spans="1:13" ht="15" customHeight="1" thickBot="1">
      <c r="A88" s="146"/>
      <c r="B88" s="151"/>
      <c r="C88" s="151"/>
      <c r="D88" s="151"/>
      <c r="E88" s="151"/>
      <c r="F88" s="151"/>
      <c r="G88" s="151"/>
      <c r="H88" s="151"/>
      <c r="I88" s="151"/>
      <c r="J88" s="151"/>
      <c r="K88" s="151"/>
      <c r="L88" s="151"/>
      <c r="M88" s="146"/>
    </row>
    <row r="89" spans="1:13" ht="9.9499999999999993" customHeight="1">
      <c r="A89" s="146"/>
      <c r="B89" s="949"/>
      <c r="C89" s="949"/>
      <c r="D89" s="949"/>
      <c r="E89" s="949"/>
      <c r="F89" s="949"/>
      <c r="G89" s="949"/>
      <c r="H89" s="949"/>
      <c r="I89" s="949"/>
      <c r="J89" s="949"/>
      <c r="K89" s="949"/>
      <c r="L89" s="949"/>
      <c r="M89" s="146"/>
    </row>
  </sheetData>
  <mergeCells count="52">
    <mergeCell ref="C42:L42"/>
    <mergeCell ref="C83:L83"/>
    <mergeCell ref="E22:E23"/>
    <mergeCell ref="F22:F23"/>
    <mergeCell ref="B25:I25"/>
    <mergeCell ref="C22:C23"/>
    <mergeCell ref="F29:F30"/>
    <mergeCell ref="B36:I36"/>
    <mergeCell ref="B37:I37"/>
    <mergeCell ref="B39:B45"/>
    <mergeCell ref="B15:I15"/>
    <mergeCell ref="C84:F84"/>
    <mergeCell ref="C82:F82"/>
    <mergeCell ref="C57:C58"/>
    <mergeCell ref="C68:C69"/>
    <mergeCell ref="E68:E69"/>
    <mergeCell ref="F68:F69"/>
    <mergeCell ref="E66:E67"/>
    <mergeCell ref="F59:F60"/>
    <mergeCell ref="C64:C65"/>
    <mergeCell ref="E64:E65"/>
    <mergeCell ref="F64:F65"/>
    <mergeCell ref="B26:I26"/>
    <mergeCell ref="B28:B34"/>
    <mergeCell ref="B17:B23"/>
    <mergeCell ref="C29:C30"/>
    <mergeCell ref="C80:F80"/>
    <mergeCell ref="B50:B79"/>
    <mergeCell ref="C76:I76"/>
    <mergeCell ref="C59:C60"/>
    <mergeCell ref="E59:E60"/>
    <mergeCell ref="F66:F67"/>
    <mergeCell ref="C66:C67"/>
    <mergeCell ref="E57:E58"/>
    <mergeCell ref="C81:F81"/>
    <mergeCell ref="B89:L89"/>
    <mergeCell ref="F10:G12"/>
    <mergeCell ref="K10:K12"/>
    <mergeCell ref="C70:L70"/>
    <mergeCell ref="C56:L56"/>
    <mergeCell ref="G2:L2"/>
    <mergeCell ref="B2:F2"/>
    <mergeCell ref="B6:L6"/>
    <mergeCell ref="C62:C63"/>
    <mergeCell ref="E62:E63"/>
    <mergeCell ref="F62:F63"/>
    <mergeCell ref="F57:F58"/>
    <mergeCell ref="B47:I47"/>
    <mergeCell ref="B48:I48"/>
    <mergeCell ref="B8:L8"/>
    <mergeCell ref="B14:I14"/>
    <mergeCell ref="E29:E30"/>
  </mergeCells>
  <hyperlinks>
    <hyperlink ref="C4" location="INDICE!A1" display="Índice"/>
  </hyperlinks>
  <pageMargins left="0.39370078740157483" right="0.19685039370078741" top="0.78740157480314965" bottom="0.39370078740157483" header="0.31496062992125984" footer="0.31496062992125984"/>
  <pageSetup paperSize="9" scale="69" orientation="portrait" r:id="rId1"/>
  <rowBreaks count="1" manualBreakCount="1">
    <brk id="46" max="16383" man="1"/>
  </rowBreaks>
  <drawing r:id="rId2"/>
</worksheet>
</file>

<file path=xl/worksheets/sheet14.xml><?xml version="1.0" encoding="utf-8"?>
<worksheet xmlns="http://schemas.openxmlformats.org/spreadsheetml/2006/main" xmlns:r="http://schemas.openxmlformats.org/officeDocument/2006/relationships">
  <sheetPr codeName="Folha13"/>
  <dimension ref="A1:L158"/>
  <sheetViews>
    <sheetView workbookViewId="0"/>
  </sheetViews>
  <sheetFormatPr defaultRowHeight="14.25"/>
  <cols>
    <col min="1" max="1" width="2.7109375" style="6" customWidth="1"/>
    <col min="2" max="2" width="4.7109375" style="6" customWidth="1"/>
    <col min="3" max="3" width="2.7109375" style="6" customWidth="1"/>
    <col min="4" max="4" width="14.7109375" style="6" customWidth="1"/>
    <col min="5" max="5" width="20.7109375" style="6" customWidth="1"/>
    <col min="6" max="6" width="24.7109375" style="6" customWidth="1"/>
    <col min="7" max="7" width="6.7109375" style="6" customWidth="1"/>
    <col min="8" max="8" width="16.7109375" style="6" customWidth="1"/>
    <col min="9" max="9" width="37.7109375" style="6" customWidth="1"/>
    <col min="10" max="10" width="2.7109375" style="6" customWidth="1"/>
    <col min="11" max="11" width="4.7109375" style="6" customWidth="1"/>
    <col min="12" max="12" width="2.7109375" style="6" customWidth="1"/>
    <col min="13" max="16384" width="9.140625" style="6"/>
  </cols>
  <sheetData>
    <row r="1" spans="1:12" ht="9.9499999999999993" customHeight="1">
      <c r="A1" s="200"/>
      <c r="B1" s="200"/>
      <c r="C1" s="200"/>
      <c r="D1" s="200"/>
      <c r="E1" s="200"/>
      <c r="F1" s="200"/>
      <c r="G1" s="200"/>
      <c r="H1" s="200"/>
      <c r="I1" s="200"/>
      <c r="J1" s="200"/>
      <c r="K1" s="200"/>
      <c r="L1" s="200"/>
    </row>
    <row r="2" spans="1:12" ht="15">
      <c r="A2" s="200"/>
      <c r="B2" s="200"/>
      <c r="C2" s="630" t="str">
        <f>AUX!A1</f>
        <v>Perfil Local de Saúde 2014</v>
      </c>
      <c r="D2" s="630"/>
      <c r="E2" s="630"/>
      <c r="F2" s="630"/>
      <c r="G2" s="630"/>
      <c r="H2" s="200"/>
      <c r="I2" s="200"/>
      <c r="J2" s="200"/>
      <c r="K2" s="200"/>
      <c r="L2" s="200"/>
    </row>
    <row r="3" spans="1:12" ht="5.0999999999999996" customHeight="1">
      <c r="A3" s="200"/>
      <c r="B3" s="200"/>
      <c r="C3" s="200"/>
      <c r="D3" s="200"/>
      <c r="E3" s="200"/>
      <c r="F3" s="200"/>
      <c r="G3" s="200"/>
      <c r="H3" s="200"/>
      <c r="I3" s="200"/>
      <c r="J3" s="200"/>
      <c r="K3" s="200"/>
      <c r="L3" s="200"/>
    </row>
    <row r="4" spans="1:12" ht="30" customHeight="1">
      <c r="A4" s="200"/>
      <c r="B4" s="629">
        <f>AUX!A3</f>
        <v>0</v>
      </c>
      <c r="C4" s="629"/>
      <c r="D4" s="629"/>
      <c r="E4" s="629"/>
      <c r="F4" s="629"/>
      <c r="G4" s="629"/>
      <c r="H4" s="629"/>
      <c r="I4" s="629"/>
      <c r="J4" s="629"/>
      <c r="K4" s="629"/>
      <c r="L4" s="200"/>
    </row>
    <row r="5" spans="1:12" ht="5.0999999999999996" customHeight="1">
      <c r="A5" s="200"/>
      <c r="B5" s="200"/>
      <c r="C5" s="200"/>
      <c r="D5" s="200"/>
      <c r="E5" s="200"/>
      <c r="F5" s="200"/>
      <c r="G5" s="200"/>
      <c r="H5" s="200"/>
      <c r="I5" s="200"/>
      <c r="J5" s="200"/>
      <c r="K5" s="200"/>
      <c r="L5" s="200"/>
    </row>
    <row r="6" spans="1:12">
      <c r="A6" s="200"/>
      <c r="B6" s="636" t="s">
        <v>3</v>
      </c>
      <c r="C6" s="636"/>
      <c r="D6" s="636"/>
      <c r="E6" s="200"/>
      <c r="F6" s="200"/>
      <c r="G6" s="200"/>
      <c r="H6" s="200"/>
      <c r="I6" s="200"/>
      <c r="J6" s="200"/>
      <c r="K6" s="200"/>
      <c r="L6" s="200"/>
    </row>
    <row r="7" spans="1:12">
      <c r="A7" s="200"/>
      <c r="B7" s="636" t="s">
        <v>0</v>
      </c>
      <c r="C7" s="636"/>
      <c r="D7" s="636"/>
      <c r="E7" s="200"/>
      <c r="F7" s="200"/>
      <c r="G7" s="200"/>
      <c r="H7" s="200"/>
      <c r="I7" s="924" t="s">
        <v>669</v>
      </c>
      <c r="J7" s="924"/>
      <c r="K7" s="924"/>
      <c r="L7" s="200"/>
    </row>
    <row r="8" spans="1:12">
      <c r="A8" s="200"/>
      <c r="B8" s="636" t="s">
        <v>1</v>
      </c>
      <c r="C8" s="636"/>
      <c r="D8" s="636"/>
      <c r="E8" s="200"/>
      <c r="F8" s="200"/>
      <c r="G8" s="200"/>
      <c r="H8" s="200"/>
      <c r="I8" s="924" t="s">
        <v>273</v>
      </c>
      <c r="J8" s="924"/>
      <c r="K8" s="924"/>
      <c r="L8" s="200"/>
    </row>
    <row r="9" spans="1:12" ht="15" customHeight="1">
      <c r="A9" s="200"/>
      <c r="B9" s="200"/>
      <c r="C9" s="200"/>
      <c r="D9" s="200"/>
      <c r="E9" s="200"/>
      <c r="F9" s="200"/>
      <c r="G9" s="200"/>
      <c r="H9" s="200"/>
      <c r="I9" s="200"/>
      <c r="J9" s="200"/>
      <c r="K9" s="200"/>
      <c r="L9" s="200"/>
    </row>
    <row r="10" spans="1:12" s="166" customFormat="1" ht="20.100000000000001" customHeight="1">
      <c r="A10" s="165"/>
      <c r="B10" s="165"/>
      <c r="C10" s="630" t="s">
        <v>85</v>
      </c>
      <c r="D10" s="630"/>
      <c r="E10" s="630"/>
      <c r="F10" s="630"/>
      <c r="G10" s="630"/>
      <c r="H10" s="630"/>
      <c r="I10" s="630"/>
      <c r="J10" s="630"/>
      <c r="K10" s="165"/>
      <c r="L10" s="165"/>
    </row>
    <row r="11" spans="1:12" ht="5.0999999999999996" customHeight="1">
      <c r="A11" s="200"/>
      <c r="B11" s="200"/>
      <c r="C11" s="923"/>
      <c r="D11" s="923"/>
      <c r="E11" s="923"/>
      <c r="F11" s="923"/>
      <c r="G11" s="923"/>
      <c r="H11" s="923"/>
      <c r="I11" s="923"/>
      <c r="J11" s="923"/>
      <c r="K11" s="200"/>
      <c r="L11" s="200"/>
    </row>
    <row r="12" spans="1:12" ht="15" customHeight="1">
      <c r="A12" s="200"/>
      <c r="B12" s="200"/>
      <c r="C12" s="200"/>
      <c r="D12" s="200"/>
      <c r="E12" s="200"/>
      <c r="F12" s="200"/>
      <c r="G12" s="200"/>
      <c r="H12" s="200"/>
      <c r="I12" s="200"/>
      <c r="J12" s="200"/>
      <c r="K12" s="200"/>
      <c r="L12" s="200"/>
    </row>
    <row r="13" spans="1:12" ht="9.9499999999999993" customHeight="1">
      <c r="A13" s="200"/>
      <c r="B13" s="200"/>
      <c r="C13" s="200"/>
      <c r="D13" s="218"/>
      <c r="E13" s="218"/>
      <c r="F13" s="218"/>
      <c r="G13" s="218"/>
      <c r="H13" s="218"/>
      <c r="I13" s="218"/>
      <c r="J13" s="200"/>
      <c r="K13" s="200"/>
      <c r="L13" s="200"/>
    </row>
    <row r="14" spans="1:12" ht="15">
      <c r="A14" s="200"/>
      <c r="B14" s="200"/>
      <c r="C14" s="200"/>
      <c r="D14" s="916" t="s">
        <v>83</v>
      </c>
      <c r="E14" s="916"/>
      <c r="F14" s="916"/>
      <c r="G14" s="219"/>
      <c r="H14" s="939"/>
      <c r="I14" s="939"/>
      <c r="J14" s="214"/>
      <c r="K14" s="200"/>
      <c r="L14" s="200"/>
    </row>
    <row r="15" spans="1:12">
      <c r="A15" s="200"/>
      <c r="B15" s="200"/>
      <c r="C15" s="200"/>
      <c r="D15" s="919" t="str">
        <f>AUX!B1</f>
        <v xml:space="preserve">Perfil Local de Saúde 2014 - </v>
      </c>
      <c r="E15" s="919"/>
      <c r="F15" s="919"/>
      <c r="G15" s="219"/>
      <c r="H15" s="920"/>
      <c r="I15" s="920"/>
      <c r="J15" s="215"/>
      <c r="K15" s="200"/>
      <c r="L15" s="200"/>
    </row>
    <row r="16" spans="1:12" ht="9.9499999999999993" customHeight="1">
      <c r="A16" s="200"/>
      <c r="B16" s="200"/>
      <c r="C16" s="200"/>
      <c r="D16" s="220"/>
      <c r="E16" s="220"/>
      <c r="F16" s="220"/>
      <c r="G16" s="219"/>
      <c r="H16" s="920"/>
      <c r="I16" s="920"/>
      <c r="J16" s="215"/>
      <c r="K16" s="200"/>
      <c r="L16" s="200"/>
    </row>
    <row r="17" spans="1:12">
      <c r="A17" s="200"/>
      <c r="B17" s="200"/>
      <c r="C17" s="200"/>
      <c r="D17" s="916" t="str">
        <f>"Presidente do Conselho Diretivo da " &amp; AUX!A2 &amp;", I.P."</f>
        <v>Presidente do Conselho Diretivo da , I.P.</v>
      </c>
      <c r="E17" s="916"/>
      <c r="F17" s="916"/>
      <c r="G17" s="219"/>
      <c r="H17" s="920"/>
      <c r="I17" s="920"/>
      <c r="J17" s="215"/>
      <c r="K17" s="200"/>
      <c r="L17" s="200"/>
    </row>
    <row r="18" spans="1:12">
      <c r="A18" s="200"/>
      <c r="B18" s="200"/>
      <c r="C18" s="200"/>
      <c r="D18" s="919"/>
      <c r="E18" s="919"/>
      <c r="F18" s="919"/>
      <c r="G18" s="219"/>
      <c r="H18" s="940"/>
      <c r="I18" s="940"/>
      <c r="J18" s="216"/>
      <c r="K18" s="200"/>
      <c r="L18" s="200"/>
    </row>
    <row r="19" spans="1:12" ht="9.9499999999999993" customHeight="1">
      <c r="A19" s="200"/>
      <c r="B19" s="200"/>
      <c r="C19" s="200"/>
      <c r="D19" s="220"/>
      <c r="E19" s="220"/>
      <c r="F19" s="220"/>
      <c r="G19" s="219"/>
      <c r="H19" s="939"/>
      <c r="I19" s="939"/>
      <c r="J19" s="214"/>
      <c r="K19" s="200"/>
      <c r="L19" s="200"/>
    </row>
    <row r="20" spans="1:12">
      <c r="A20" s="200"/>
      <c r="B20" s="200"/>
      <c r="C20" s="200"/>
      <c r="D20" s="916" t="str">
        <f>CONCATENATE(IF(OR(AUX!B2=1,AUX!B2=4,AUX!B2=5),"Diretora","Diretor")," do Departamento de Saúde Pública da ",AUX!A2,", I.P.")</f>
        <v>Diretor do Departamento de Saúde Pública da , I.P.</v>
      </c>
      <c r="E20" s="916"/>
      <c r="F20" s="916"/>
      <c r="G20" s="219"/>
      <c r="H20" s="920"/>
      <c r="I20" s="920"/>
      <c r="J20" s="215"/>
      <c r="K20" s="200"/>
      <c r="L20" s="200"/>
    </row>
    <row r="21" spans="1:12">
      <c r="A21" s="200"/>
      <c r="B21" s="200"/>
      <c r="C21" s="200"/>
      <c r="D21" s="919"/>
      <c r="E21" s="919"/>
      <c r="F21" s="919"/>
      <c r="G21" s="219"/>
      <c r="H21" s="920"/>
      <c r="I21" s="920"/>
      <c r="J21" s="215"/>
      <c r="K21" s="200"/>
      <c r="L21" s="200"/>
    </row>
    <row r="22" spans="1:12" ht="9.9499999999999993" customHeight="1">
      <c r="A22" s="200"/>
      <c r="B22" s="200"/>
      <c r="C22" s="200"/>
      <c r="D22" s="220"/>
      <c r="E22" s="220"/>
      <c r="F22" s="220"/>
      <c r="G22" s="219"/>
      <c r="H22" s="920"/>
      <c r="I22" s="920"/>
      <c r="J22" s="215"/>
      <c r="K22" s="200"/>
      <c r="L22" s="200"/>
    </row>
    <row r="23" spans="1:12">
      <c r="A23" s="544"/>
      <c r="B23" s="544"/>
      <c r="C23" s="544"/>
      <c r="D23" s="916" t="s">
        <v>523</v>
      </c>
      <c r="E23" s="916"/>
      <c r="F23" s="916"/>
      <c r="G23" s="219"/>
      <c r="H23" s="917" t="s">
        <v>524</v>
      </c>
      <c r="I23" s="917"/>
      <c r="J23" s="215"/>
      <c r="K23" s="544"/>
      <c r="L23" s="544"/>
    </row>
    <row r="24" spans="1:12">
      <c r="A24" s="544"/>
      <c r="B24" s="544"/>
      <c r="C24" s="544"/>
      <c r="D24" s="919" t="s">
        <v>527</v>
      </c>
      <c r="E24" s="919"/>
      <c r="F24" s="919"/>
      <c r="G24" s="219"/>
      <c r="H24" s="918" t="s">
        <v>541</v>
      </c>
      <c r="I24" s="918"/>
      <c r="J24" s="215"/>
      <c r="K24" s="544"/>
      <c r="L24" s="544"/>
    </row>
    <row r="25" spans="1:12">
      <c r="A25" s="544"/>
      <c r="B25" s="544"/>
      <c r="C25" s="544"/>
      <c r="D25" s="919" t="s">
        <v>528</v>
      </c>
      <c r="E25" s="919"/>
      <c r="F25" s="919"/>
      <c r="G25" s="219"/>
      <c r="H25" s="918" t="s">
        <v>542</v>
      </c>
      <c r="I25" s="918"/>
      <c r="J25" s="215"/>
      <c r="K25" s="544"/>
      <c r="L25" s="544"/>
    </row>
    <row r="26" spans="1:12">
      <c r="A26" s="544"/>
      <c r="B26" s="544"/>
      <c r="C26" s="544"/>
      <c r="D26" s="919" t="s">
        <v>671</v>
      </c>
      <c r="E26" s="919"/>
      <c r="F26" s="919"/>
      <c r="G26" s="219"/>
      <c r="H26" s="918" t="s">
        <v>543</v>
      </c>
      <c r="I26" s="918"/>
      <c r="J26" s="215"/>
      <c r="K26" s="544"/>
      <c r="L26" s="544"/>
    </row>
    <row r="27" spans="1:12">
      <c r="A27" s="544"/>
      <c r="B27" s="544"/>
      <c r="C27" s="544"/>
      <c r="D27" s="919" t="s">
        <v>529</v>
      </c>
      <c r="E27" s="919"/>
      <c r="F27" s="919"/>
      <c r="G27" s="219"/>
      <c r="H27" s="918" t="s">
        <v>544</v>
      </c>
      <c r="I27" s="918"/>
      <c r="J27" s="215"/>
      <c r="K27" s="544"/>
      <c r="L27" s="544"/>
    </row>
    <row r="28" spans="1:12">
      <c r="A28" s="544"/>
      <c r="B28" s="544"/>
      <c r="C28" s="544"/>
      <c r="D28" s="919" t="s">
        <v>530</v>
      </c>
      <c r="E28" s="919"/>
      <c r="F28" s="919"/>
      <c r="G28" s="219"/>
      <c r="H28" s="918" t="s">
        <v>545</v>
      </c>
      <c r="I28" s="918"/>
      <c r="J28" s="215"/>
      <c r="K28" s="544"/>
      <c r="L28" s="544"/>
    </row>
    <row r="29" spans="1:12">
      <c r="A29" s="544"/>
      <c r="B29" s="544"/>
      <c r="C29" s="544"/>
      <c r="D29" s="919" t="s">
        <v>531</v>
      </c>
      <c r="E29" s="919"/>
      <c r="F29" s="919"/>
      <c r="G29" s="219"/>
      <c r="H29" s="918" t="s">
        <v>535</v>
      </c>
      <c r="I29" s="918"/>
      <c r="J29" s="215"/>
      <c r="K29" s="544"/>
      <c r="L29" s="544"/>
    </row>
    <row r="30" spans="1:12">
      <c r="A30" s="544"/>
      <c r="B30" s="544"/>
      <c r="C30" s="544"/>
      <c r="D30" s="919" t="s">
        <v>532</v>
      </c>
      <c r="E30" s="919"/>
      <c r="F30" s="919"/>
      <c r="G30" s="219"/>
      <c r="H30" s="918" t="s">
        <v>546</v>
      </c>
      <c r="I30" s="918"/>
      <c r="J30" s="215"/>
      <c r="K30" s="544"/>
      <c r="L30" s="544"/>
    </row>
    <row r="31" spans="1:12">
      <c r="A31" s="544"/>
      <c r="B31" s="544"/>
      <c r="C31" s="544"/>
      <c r="D31" s="919" t="s">
        <v>533</v>
      </c>
      <c r="E31" s="919"/>
      <c r="F31" s="919"/>
      <c r="G31" s="219"/>
      <c r="H31" s="918" t="s">
        <v>536</v>
      </c>
      <c r="I31" s="918"/>
      <c r="J31" s="215"/>
      <c r="K31" s="544"/>
      <c r="L31" s="544"/>
    </row>
    <row r="32" spans="1:12">
      <c r="A32" s="544"/>
      <c r="B32" s="544"/>
      <c r="C32" s="544"/>
      <c r="D32" s="919" t="s">
        <v>534</v>
      </c>
      <c r="E32" s="919"/>
      <c r="F32" s="919"/>
      <c r="G32" s="219"/>
      <c r="H32" s="918" t="s">
        <v>547</v>
      </c>
      <c r="I32" s="918"/>
      <c r="J32" s="215"/>
      <c r="K32" s="544"/>
      <c r="L32" s="544"/>
    </row>
    <row r="33" spans="1:12">
      <c r="A33" s="544"/>
      <c r="B33" s="544"/>
      <c r="C33" s="544"/>
      <c r="D33" s="919" t="s">
        <v>535</v>
      </c>
      <c r="E33" s="919"/>
      <c r="F33" s="919"/>
      <c r="G33" s="219"/>
      <c r="H33" s="918" t="s">
        <v>548</v>
      </c>
      <c r="I33" s="918"/>
      <c r="J33" s="215"/>
      <c r="K33" s="544"/>
      <c r="L33" s="544"/>
    </row>
    <row r="34" spans="1:12">
      <c r="A34" s="544"/>
      <c r="B34" s="544"/>
      <c r="C34" s="544"/>
      <c r="D34" s="919" t="s">
        <v>689</v>
      </c>
      <c r="E34" s="919"/>
      <c r="F34" s="919"/>
      <c r="G34" s="219"/>
      <c r="H34" s="918" t="s">
        <v>540</v>
      </c>
      <c r="I34" s="918"/>
      <c r="J34" s="215"/>
      <c r="K34" s="544"/>
      <c r="L34" s="544"/>
    </row>
    <row r="35" spans="1:12">
      <c r="A35" s="544"/>
      <c r="B35" s="544"/>
      <c r="C35" s="544"/>
      <c r="D35" s="919" t="s">
        <v>536</v>
      </c>
      <c r="E35" s="919"/>
      <c r="F35" s="919"/>
      <c r="G35" s="219"/>
      <c r="H35" s="920"/>
      <c r="I35" s="920"/>
      <c r="J35" s="215"/>
      <c r="K35" s="544"/>
      <c r="L35" s="544"/>
    </row>
    <row r="36" spans="1:12">
      <c r="A36" s="544"/>
      <c r="B36" s="544"/>
      <c r="C36" s="544"/>
      <c r="D36" s="919" t="s">
        <v>537</v>
      </c>
      <c r="E36" s="919"/>
      <c r="F36" s="919"/>
      <c r="G36" s="219"/>
      <c r="H36" s="920"/>
      <c r="I36" s="920"/>
      <c r="J36" s="215"/>
      <c r="K36" s="544"/>
      <c r="L36" s="544"/>
    </row>
    <row r="37" spans="1:12">
      <c r="A37" s="544"/>
      <c r="B37" s="544"/>
      <c r="C37" s="544"/>
      <c r="D37" s="919" t="s">
        <v>538</v>
      </c>
      <c r="E37" s="919"/>
      <c r="F37" s="919"/>
      <c r="G37" s="219"/>
      <c r="H37" s="920"/>
      <c r="I37" s="920"/>
      <c r="J37" s="215"/>
      <c r="K37" s="544"/>
      <c r="L37" s="544"/>
    </row>
    <row r="38" spans="1:12">
      <c r="A38" s="547"/>
      <c r="B38" s="547"/>
      <c r="C38" s="547"/>
      <c r="D38" s="919" t="s">
        <v>539</v>
      </c>
      <c r="E38" s="919"/>
      <c r="F38" s="919"/>
      <c r="G38" s="219"/>
      <c r="H38" s="918"/>
      <c r="I38" s="918"/>
      <c r="J38" s="215"/>
      <c r="K38" s="547"/>
      <c r="L38" s="547"/>
    </row>
    <row r="39" spans="1:12">
      <c r="A39" s="544"/>
      <c r="B39" s="544"/>
      <c r="C39" s="544"/>
      <c r="D39" s="919" t="s">
        <v>540</v>
      </c>
      <c r="E39" s="919"/>
      <c r="F39" s="919"/>
      <c r="G39" s="219"/>
      <c r="H39" s="920"/>
      <c r="I39" s="920"/>
      <c r="J39" s="215"/>
      <c r="K39" s="544"/>
      <c r="L39" s="544"/>
    </row>
    <row r="40" spans="1:12" ht="9.9499999999999993" customHeight="1">
      <c r="A40" s="544"/>
      <c r="B40" s="544"/>
      <c r="C40" s="544"/>
      <c r="D40" s="220"/>
      <c r="E40" s="220"/>
      <c r="F40" s="220"/>
      <c r="G40" s="219"/>
      <c r="H40" s="920"/>
      <c r="I40" s="920"/>
      <c r="J40" s="215"/>
      <c r="K40" s="544"/>
      <c r="L40" s="544"/>
    </row>
    <row r="41" spans="1:12">
      <c r="A41" s="200"/>
      <c r="B41" s="200"/>
      <c r="C41" s="200"/>
      <c r="D41" s="916" t="s">
        <v>84</v>
      </c>
      <c r="E41" s="916"/>
      <c r="F41" s="916"/>
      <c r="G41" s="219"/>
      <c r="H41" s="920"/>
      <c r="I41" s="920"/>
      <c r="J41" s="215"/>
      <c r="K41" s="200"/>
      <c r="L41" s="200"/>
    </row>
    <row r="42" spans="1:12">
      <c r="A42" s="200"/>
      <c r="B42" s="200"/>
      <c r="C42" s="200"/>
      <c r="D42" s="922"/>
      <c r="E42" s="922"/>
      <c r="F42" s="922"/>
      <c r="G42" s="219"/>
      <c r="H42" s="920"/>
      <c r="I42" s="920"/>
      <c r="J42" s="215"/>
      <c r="K42" s="200"/>
      <c r="L42" s="200"/>
    </row>
    <row r="43" spans="1:12" ht="9.9499999999999993" customHeight="1">
      <c r="A43" s="200"/>
      <c r="B43" s="200"/>
      <c r="C43" s="200"/>
      <c r="D43" s="213"/>
      <c r="E43" s="213"/>
      <c r="F43" s="213"/>
      <c r="G43" s="213"/>
      <c r="H43" s="213"/>
      <c r="I43" s="213"/>
      <c r="J43" s="200"/>
      <c r="K43" s="200"/>
      <c r="L43" s="200"/>
    </row>
    <row r="44" spans="1:12">
      <c r="A44" s="200"/>
      <c r="B44" s="200"/>
      <c r="C44" s="200"/>
      <c r="D44" s="200"/>
      <c r="E44" s="200"/>
      <c r="F44" s="200"/>
      <c r="G44" s="200"/>
      <c r="H44" s="200"/>
      <c r="I44" s="200"/>
      <c r="J44" s="200"/>
      <c r="K44" s="200"/>
      <c r="L44" s="200"/>
    </row>
    <row r="45" spans="1:12" ht="30" customHeight="1">
      <c r="A45" s="200"/>
      <c r="B45" s="200"/>
      <c r="C45" s="200"/>
      <c r="D45" s="200"/>
      <c r="E45" s="200"/>
      <c r="F45" s="200"/>
      <c r="G45" s="200"/>
      <c r="H45" s="200"/>
      <c r="I45" s="200"/>
      <c r="J45" s="200"/>
      <c r="K45" s="200"/>
      <c r="L45" s="200"/>
    </row>
    <row r="46" spans="1:12" ht="15">
      <c r="A46" s="200"/>
      <c r="B46" s="200"/>
      <c r="C46" s="921" t="s">
        <v>668</v>
      </c>
      <c r="D46" s="921"/>
      <c r="E46" s="921"/>
      <c r="F46" s="921"/>
      <c r="G46" s="921"/>
      <c r="H46" s="921"/>
      <c r="I46" s="921"/>
      <c r="J46" s="921"/>
      <c r="K46" s="200"/>
      <c r="L46" s="200"/>
    </row>
    <row r="47" spans="1:12" ht="5.0999999999999996" customHeight="1">
      <c r="A47" s="200"/>
      <c r="B47" s="200"/>
      <c r="C47" s="923"/>
      <c r="D47" s="923"/>
      <c r="E47" s="923"/>
      <c r="F47" s="923"/>
      <c r="G47" s="923"/>
      <c r="H47" s="923"/>
      <c r="I47" s="923"/>
      <c r="J47" s="923"/>
      <c r="K47" s="200"/>
      <c r="L47" s="200"/>
    </row>
    <row r="48" spans="1:12" ht="5.0999999999999996" customHeight="1">
      <c r="A48" s="200"/>
      <c r="B48" s="200"/>
      <c r="C48" s="200"/>
      <c r="D48" s="200"/>
      <c r="E48" s="200"/>
      <c r="F48" s="200"/>
      <c r="G48" s="200"/>
      <c r="H48" s="200"/>
      <c r="I48" s="200"/>
      <c r="J48" s="200"/>
      <c r="K48" s="200"/>
      <c r="L48" s="200"/>
    </row>
    <row r="49" spans="1:12">
      <c r="A49" s="200"/>
      <c r="B49" s="200"/>
      <c r="C49" s="200"/>
      <c r="D49" s="221" t="s">
        <v>525</v>
      </c>
      <c r="E49" s="925" t="s">
        <v>122</v>
      </c>
      <c r="F49" s="925"/>
      <c r="G49" s="925"/>
      <c r="H49" s="925"/>
      <c r="I49" s="925"/>
      <c r="J49" s="925"/>
      <c r="K49" s="200"/>
      <c r="L49" s="200"/>
    </row>
    <row r="50" spans="1:12">
      <c r="A50" s="200"/>
      <c r="B50" s="200"/>
      <c r="C50" s="200"/>
      <c r="D50" s="221" t="s">
        <v>559</v>
      </c>
      <c r="E50" s="925" t="s">
        <v>560</v>
      </c>
      <c r="F50" s="925"/>
      <c r="G50" s="925"/>
      <c r="H50" s="925"/>
      <c r="I50" s="925"/>
      <c r="J50" s="925"/>
      <c r="K50" s="200"/>
      <c r="L50" s="200"/>
    </row>
    <row r="51" spans="1:12">
      <c r="A51" s="200"/>
      <c r="B51" s="200"/>
      <c r="C51" s="200"/>
      <c r="D51" s="221" t="s">
        <v>80</v>
      </c>
      <c r="E51" s="925" t="s">
        <v>561</v>
      </c>
      <c r="F51" s="925"/>
      <c r="G51" s="925"/>
      <c r="H51" s="925"/>
      <c r="I51" s="925"/>
      <c r="J51" s="925"/>
      <c r="K51" s="200"/>
      <c r="L51" s="200"/>
    </row>
    <row r="52" spans="1:12">
      <c r="A52" s="200"/>
      <c r="B52" s="200"/>
      <c r="C52" s="200"/>
      <c r="D52" s="221" t="s">
        <v>86</v>
      </c>
      <c r="E52" s="925" t="s">
        <v>16</v>
      </c>
      <c r="F52" s="925"/>
      <c r="G52" s="925"/>
      <c r="H52" s="925"/>
      <c r="I52" s="925"/>
      <c r="J52" s="925"/>
      <c r="K52" s="200"/>
      <c r="L52" s="200"/>
    </row>
    <row r="53" spans="1:12">
      <c r="A53" s="200"/>
      <c r="B53" s="200"/>
      <c r="C53" s="200"/>
      <c r="D53" s="570" t="s">
        <v>87</v>
      </c>
      <c r="E53" s="926" t="s">
        <v>281</v>
      </c>
      <c r="F53" s="926"/>
      <c r="G53" s="926"/>
      <c r="H53" s="926"/>
      <c r="I53" s="926"/>
      <c r="J53" s="926"/>
      <c r="K53" s="200"/>
      <c r="L53" s="200"/>
    </row>
    <row r="54" spans="1:12" ht="14.25" customHeight="1">
      <c r="A54" s="567"/>
      <c r="B54" s="567"/>
      <c r="C54" s="567"/>
      <c r="D54" s="570" t="s">
        <v>587</v>
      </c>
      <c r="E54" s="926" t="s">
        <v>588</v>
      </c>
      <c r="F54" s="926"/>
      <c r="G54" s="926"/>
      <c r="H54" s="926"/>
      <c r="I54" s="926"/>
      <c r="J54" s="926"/>
      <c r="K54" s="567"/>
      <c r="L54" s="567"/>
    </row>
    <row r="55" spans="1:12">
      <c r="A55" s="200"/>
      <c r="B55" s="200"/>
      <c r="C55" s="200"/>
      <c r="D55" s="221" t="s">
        <v>88</v>
      </c>
      <c r="E55" s="925" t="s">
        <v>562</v>
      </c>
      <c r="F55" s="925"/>
      <c r="G55" s="925"/>
      <c r="H55" s="925"/>
      <c r="I55" s="925"/>
      <c r="J55" s="925"/>
      <c r="K55" s="200"/>
      <c r="L55" s="200"/>
    </row>
    <row r="56" spans="1:12" ht="14.25" customHeight="1">
      <c r="A56" s="200"/>
      <c r="B56" s="200"/>
      <c r="C56" s="200"/>
      <c r="D56" s="221" t="s">
        <v>563</v>
      </c>
      <c r="E56" s="584" t="s">
        <v>564</v>
      </c>
      <c r="F56" s="584"/>
      <c r="G56" s="584"/>
      <c r="H56" s="584"/>
      <c r="I56" s="584"/>
      <c r="J56" s="584"/>
      <c r="K56" s="200"/>
      <c r="L56" s="200"/>
    </row>
    <row r="57" spans="1:12">
      <c r="A57" s="200"/>
      <c r="B57" s="200"/>
      <c r="C57" s="200"/>
      <c r="D57" s="221" t="s">
        <v>89</v>
      </c>
      <c r="E57" s="925" t="s">
        <v>90</v>
      </c>
      <c r="F57" s="925"/>
      <c r="G57" s="925"/>
      <c r="H57" s="925"/>
      <c r="I57" s="925"/>
      <c r="J57" s="925"/>
      <c r="K57" s="200"/>
      <c r="L57" s="200"/>
    </row>
    <row r="58" spans="1:12">
      <c r="A58" s="200"/>
      <c r="B58" s="200"/>
      <c r="C58" s="200"/>
      <c r="D58" s="221" t="s">
        <v>565</v>
      </c>
      <c r="E58" s="584" t="s">
        <v>566</v>
      </c>
      <c r="F58" s="584"/>
      <c r="G58" s="584"/>
      <c r="H58" s="584"/>
      <c r="I58" s="584"/>
      <c r="J58" s="584"/>
      <c r="K58" s="200"/>
      <c r="L58" s="200"/>
    </row>
    <row r="59" spans="1:12">
      <c r="A59" s="200"/>
      <c r="B59" s="200"/>
      <c r="C59" s="200"/>
      <c r="D59" s="221" t="s">
        <v>14</v>
      </c>
      <c r="E59" s="584" t="s">
        <v>62</v>
      </c>
      <c r="F59" s="584"/>
      <c r="G59" s="584"/>
      <c r="H59" s="584"/>
      <c r="I59" s="584"/>
      <c r="J59" s="584"/>
      <c r="K59" s="200"/>
      <c r="L59" s="200"/>
    </row>
    <row r="60" spans="1:12">
      <c r="A60" s="200"/>
      <c r="B60" s="200"/>
      <c r="C60" s="200"/>
      <c r="D60" s="221" t="s">
        <v>13</v>
      </c>
      <c r="E60" s="584" t="s">
        <v>174</v>
      </c>
      <c r="F60" s="584"/>
      <c r="G60" s="584"/>
      <c r="H60" s="584"/>
      <c r="I60" s="584"/>
      <c r="J60" s="584"/>
      <c r="K60" s="200"/>
      <c r="L60" s="200"/>
    </row>
    <row r="61" spans="1:12">
      <c r="A61" s="200"/>
      <c r="B61" s="200"/>
      <c r="C61" s="200"/>
      <c r="D61" s="221" t="s">
        <v>92</v>
      </c>
      <c r="E61" s="925" t="s">
        <v>91</v>
      </c>
      <c r="F61" s="925"/>
      <c r="G61" s="925"/>
      <c r="H61" s="925"/>
      <c r="I61" s="925"/>
      <c r="J61" s="925"/>
      <c r="K61" s="200"/>
      <c r="L61" s="200"/>
    </row>
    <row r="62" spans="1:12">
      <c r="A62" s="200"/>
      <c r="B62" s="200"/>
      <c r="C62" s="200"/>
      <c r="D62" s="221" t="s">
        <v>567</v>
      </c>
      <c r="E62" s="584" t="s">
        <v>568</v>
      </c>
      <c r="F62" s="584"/>
      <c r="G62" s="584"/>
      <c r="H62" s="584"/>
      <c r="I62" s="584"/>
      <c r="J62" s="584"/>
      <c r="K62" s="200"/>
      <c r="L62" s="200"/>
    </row>
    <row r="63" spans="1:12">
      <c r="A63" s="200"/>
      <c r="B63" s="200"/>
      <c r="C63" s="200"/>
      <c r="D63" s="221" t="s">
        <v>569</v>
      </c>
      <c r="E63" s="925" t="s">
        <v>570</v>
      </c>
      <c r="F63" s="925"/>
      <c r="G63" s="925"/>
      <c r="H63" s="925"/>
      <c r="I63" s="925"/>
      <c r="J63" s="925"/>
      <c r="K63" s="200"/>
      <c r="L63" s="200"/>
    </row>
    <row r="64" spans="1:12">
      <c r="A64" s="200"/>
      <c r="B64" s="200"/>
      <c r="C64" s="200"/>
      <c r="D64" s="221" t="s">
        <v>571</v>
      </c>
      <c r="E64" s="925" t="s">
        <v>572</v>
      </c>
      <c r="F64" s="925"/>
      <c r="G64" s="925"/>
      <c r="H64" s="925"/>
      <c r="I64" s="925"/>
      <c r="J64" s="925"/>
      <c r="K64" s="200"/>
      <c r="L64" s="200"/>
    </row>
    <row r="65" spans="1:12">
      <c r="A65" s="200"/>
      <c r="B65" s="200"/>
      <c r="C65" s="200"/>
      <c r="D65" s="221" t="s">
        <v>207</v>
      </c>
      <c r="E65" s="584" t="s">
        <v>573</v>
      </c>
      <c r="F65" s="584"/>
      <c r="G65" s="584"/>
      <c r="H65" s="584"/>
      <c r="I65" s="584"/>
      <c r="J65" s="584"/>
      <c r="K65" s="200"/>
      <c r="L65" s="200"/>
    </row>
    <row r="66" spans="1:12">
      <c r="A66" s="200"/>
      <c r="B66" s="200"/>
      <c r="C66" s="200"/>
      <c r="D66" s="221" t="s">
        <v>15</v>
      </c>
      <c r="E66" s="584" t="s">
        <v>63</v>
      </c>
      <c r="F66" s="584"/>
      <c r="G66" s="584"/>
      <c r="H66" s="584"/>
      <c r="I66" s="584"/>
      <c r="J66" s="584"/>
      <c r="K66" s="200"/>
      <c r="L66" s="200"/>
    </row>
    <row r="67" spans="1:12">
      <c r="A67" s="200"/>
      <c r="B67" s="200"/>
      <c r="C67" s="200"/>
      <c r="D67" s="221" t="s">
        <v>93</v>
      </c>
      <c r="E67" s="925" t="s">
        <v>94</v>
      </c>
      <c r="F67" s="925"/>
      <c r="G67" s="925"/>
      <c r="H67" s="925"/>
      <c r="I67" s="925"/>
      <c r="J67" s="925"/>
      <c r="K67" s="200"/>
      <c r="L67" s="200"/>
    </row>
    <row r="68" spans="1:12">
      <c r="A68" s="200"/>
      <c r="B68" s="200"/>
      <c r="C68" s="200"/>
      <c r="D68" s="221" t="s">
        <v>574</v>
      </c>
      <c r="E68" s="584" t="s">
        <v>575</v>
      </c>
      <c r="F68" s="584"/>
      <c r="G68" s="584"/>
      <c r="H68" s="584"/>
      <c r="I68" s="584"/>
      <c r="J68" s="584"/>
      <c r="K68" s="200"/>
      <c r="L68" s="200"/>
    </row>
    <row r="69" spans="1:12">
      <c r="A69" s="397"/>
      <c r="B69" s="397"/>
      <c r="C69" s="397"/>
      <c r="D69" s="221" t="s">
        <v>81</v>
      </c>
      <c r="E69" s="925" t="s">
        <v>95</v>
      </c>
      <c r="F69" s="925"/>
      <c r="G69" s="925"/>
      <c r="H69" s="925"/>
      <c r="I69" s="925"/>
      <c r="J69" s="925"/>
      <c r="K69" s="397"/>
      <c r="L69" s="397"/>
    </row>
    <row r="70" spans="1:12">
      <c r="A70" s="200"/>
      <c r="B70" s="200"/>
      <c r="C70" s="200"/>
      <c r="D70" s="221" t="s">
        <v>96</v>
      </c>
      <c r="E70" s="925" t="s">
        <v>97</v>
      </c>
      <c r="F70" s="925"/>
      <c r="G70" s="925"/>
      <c r="H70" s="925"/>
      <c r="I70" s="925"/>
      <c r="J70" s="925"/>
      <c r="K70" s="200"/>
      <c r="L70" s="200"/>
    </row>
    <row r="71" spans="1:12">
      <c r="A71" s="200"/>
      <c r="B71" s="200"/>
      <c r="C71" s="200"/>
      <c r="D71" s="221" t="s">
        <v>576</v>
      </c>
      <c r="E71" s="925" t="s">
        <v>577</v>
      </c>
      <c r="F71" s="925"/>
      <c r="G71" s="925"/>
      <c r="H71" s="925"/>
      <c r="I71" s="925"/>
      <c r="J71" s="925"/>
      <c r="K71" s="200"/>
      <c r="L71" s="200"/>
    </row>
    <row r="72" spans="1:12">
      <c r="A72" s="200"/>
      <c r="B72" s="200"/>
      <c r="C72" s="200"/>
      <c r="D72" s="221" t="s">
        <v>578</v>
      </c>
      <c r="E72" s="925" t="s">
        <v>579</v>
      </c>
      <c r="F72" s="925"/>
      <c r="G72" s="925"/>
      <c r="H72" s="925"/>
      <c r="I72" s="925"/>
      <c r="J72" s="925"/>
      <c r="K72" s="200"/>
      <c r="L72" s="200"/>
    </row>
    <row r="73" spans="1:12">
      <c r="A73" s="200"/>
      <c r="B73" s="200"/>
      <c r="C73" s="200"/>
      <c r="D73" s="221" t="s">
        <v>260</v>
      </c>
      <c r="E73" s="925" t="s">
        <v>176</v>
      </c>
      <c r="F73" s="925"/>
      <c r="G73" s="925"/>
      <c r="H73" s="925"/>
      <c r="I73" s="925"/>
      <c r="J73" s="925"/>
      <c r="K73" s="200"/>
      <c r="L73" s="200"/>
    </row>
    <row r="74" spans="1:12">
      <c r="A74" s="200"/>
      <c r="B74" s="200"/>
      <c r="C74" s="200"/>
      <c r="D74" s="221" t="s">
        <v>580</v>
      </c>
      <c r="E74" s="584" t="s">
        <v>581</v>
      </c>
      <c r="F74" s="584"/>
      <c r="G74" s="584"/>
      <c r="H74" s="584"/>
      <c r="I74" s="584"/>
      <c r="J74" s="584"/>
      <c r="K74" s="200"/>
      <c r="L74" s="200"/>
    </row>
    <row r="75" spans="1:12">
      <c r="A75" s="200"/>
      <c r="B75" s="200"/>
      <c r="C75" s="200"/>
      <c r="D75" s="221" t="s">
        <v>582</v>
      </c>
      <c r="E75" s="584" t="s">
        <v>583</v>
      </c>
      <c r="F75" s="584"/>
      <c r="G75" s="584"/>
      <c r="H75" s="584"/>
      <c r="I75" s="584"/>
      <c r="J75" s="584"/>
      <c r="K75" s="200"/>
      <c r="L75" s="200"/>
    </row>
    <row r="76" spans="1:12">
      <c r="A76" s="200"/>
      <c r="B76" s="200"/>
      <c r="C76" s="200"/>
      <c r="D76" s="221" t="s">
        <v>584</v>
      </c>
      <c r="E76" s="925" t="s">
        <v>98</v>
      </c>
      <c r="F76" s="925"/>
      <c r="G76" s="925"/>
      <c r="H76" s="925"/>
      <c r="I76" s="925"/>
      <c r="J76" s="925"/>
      <c r="K76" s="200"/>
      <c r="L76" s="200"/>
    </row>
    <row r="77" spans="1:12">
      <c r="A77" s="200"/>
      <c r="B77" s="200"/>
      <c r="C77" s="200"/>
      <c r="D77" s="221" t="s">
        <v>585</v>
      </c>
      <c r="E77" s="584" t="s">
        <v>586</v>
      </c>
      <c r="F77" s="584"/>
      <c r="G77" s="584"/>
      <c r="H77" s="584"/>
      <c r="I77" s="584"/>
      <c r="J77" s="584"/>
      <c r="K77" s="200"/>
      <c r="L77" s="200"/>
    </row>
    <row r="78" spans="1:12">
      <c r="A78" s="200"/>
      <c r="B78" s="200"/>
      <c r="C78" s="200"/>
      <c r="D78" s="221" t="s">
        <v>99</v>
      </c>
      <c r="E78" s="925" t="s">
        <v>100</v>
      </c>
      <c r="F78" s="925"/>
      <c r="G78" s="925"/>
      <c r="H78" s="925"/>
      <c r="I78" s="925"/>
      <c r="J78" s="925"/>
      <c r="K78" s="200"/>
      <c r="L78" s="200"/>
    </row>
    <row r="79" spans="1:12">
      <c r="A79" s="396"/>
      <c r="B79" s="396"/>
      <c r="C79" s="396"/>
      <c r="D79" s="221" t="s">
        <v>101</v>
      </c>
      <c r="E79" s="925" t="s">
        <v>29</v>
      </c>
      <c r="F79" s="925"/>
      <c r="G79" s="925"/>
      <c r="H79" s="925"/>
      <c r="I79" s="925"/>
      <c r="J79" s="925"/>
      <c r="K79" s="396"/>
      <c r="L79" s="396"/>
    </row>
    <row r="80" spans="1:12">
      <c r="A80" s="200"/>
      <c r="B80" s="200"/>
      <c r="C80" s="200"/>
      <c r="D80" s="221" t="s">
        <v>112</v>
      </c>
      <c r="E80" s="925" t="s">
        <v>113</v>
      </c>
      <c r="F80" s="925"/>
      <c r="G80" s="925"/>
      <c r="H80" s="925"/>
      <c r="I80" s="925"/>
      <c r="J80" s="925"/>
      <c r="K80" s="200"/>
      <c r="L80" s="200"/>
    </row>
    <row r="81" spans="1:12">
      <c r="A81" s="200"/>
      <c r="B81" s="200"/>
      <c r="C81" s="200"/>
      <c r="D81" s="221" t="s">
        <v>123</v>
      </c>
      <c r="E81" s="925" t="s">
        <v>124</v>
      </c>
      <c r="F81" s="925"/>
      <c r="G81" s="925"/>
      <c r="H81" s="925"/>
      <c r="I81" s="925"/>
      <c r="J81" s="925"/>
      <c r="K81" s="200"/>
      <c r="L81" s="200"/>
    </row>
    <row r="82" spans="1:12">
      <c r="A82" s="200"/>
      <c r="B82" s="200"/>
      <c r="C82" s="200"/>
      <c r="D82" s="221" t="s">
        <v>119</v>
      </c>
      <c r="E82" s="925" t="s">
        <v>120</v>
      </c>
      <c r="F82" s="925"/>
      <c r="G82" s="925"/>
      <c r="H82" s="925"/>
      <c r="I82" s="925"/>
      <c r="J82" s="925"/>
      <c r="K82" s="200"/>
      <c r="L82" s="200"/>
    </row>
    <row r="83" spans="1:12" ht="15">
      <c r="A83" s="200"/>
      <c r="B83" s="200"/>
      <c r="C83" s="200"/>
      <c r="D83" s="217"/>
      <c r="E83" s="935"/>
      <c r="F83" s="935"/>
      <c r="G83" s="935"/>
      <c r="H83" s="935"/>
      <c r="I83" s="935"/>
      <c r="J83" s="935"/>
      <c r="K83" s="200"/>
      <c r="L83" s="200"/>
    </row>
    <row r="84" spans="1:12">
      <c r="A84" s="200"/>
      <c r="B84" s="200"/>
      <c r="C84" s="934" t="s">
        <v>28</v>
      </c>
      <c r="D84" s="934"/>
      <c r="E84" s="200"/>
      <c r="F84" s="200"/>
      <c r="G84" s="200"/>
      <c r="H84" s="200"/>
      <c r="I84" s="200"/>
      <c r="J84" s="200"/>
      <c r="K84" s="200"/>
      <c r="L84" s="200"/>
    </row>
    <row r="85" spans="1:12" ht="30" customHeight="1">
      <c r="A85" s="200"/>
      <c r="B85" s="200"/>
      <c r="C85" s="200"/>
      <c r="D85" s="200"/>
      <c r="E85" s="200"/>
      <c r="F85" s="200"/>
      <c r="G85" s="200"/>
      <c r="H85" s="200"/>
      <c r="I85" s="200"/>
      <c r="J85" s="200"/>
      <c r="K85" s="200"/>
      <c r="L85" s="200"/>
    </row>
    <row r="86" spans="1:12" ht="15">
      <c r="A86" s="200"/>
      <c r="B86" s="200"/>
      <c r="C86" s="921" t="s">
        <v>670</v>
      </c>
      <c r="D86" s="921"/>
      <c r="E86" s="921"/>
      <c r="F86" s="921"/>
      <c r="G86" s="921"/>
      <c r="H86" s="921"/>
      <c r="I86" s="921"/>
      <c r="J86" s="921"/>
      <c r="K86" s="200"/>
      <c r="L86" s="200"/>
    </row>
    <row r="87" spans="1:12" ht="5.0999999999999996" customHeight="1">
      <c r="A87" s="200"/>
      <c r="B87" s="200"/>
      <c r="C87" s="923"/>
      <c r="D87" s="923"/>
      <c r="E87" s="923"/>
      <c r="F87" s="923"/>
      <c r="G87" s="923"/>
      <c r="H87" s="923"/>
      <c r="I87" s="923"/>
      <c r="J87" s="923"/>
      <c r="K87" s="200"/>
      <c r="L87" s="200"/>
    </row>
    <row r="88" spans="1:12" ht="9.9499999999999993" customHeight="1">
      <c r="A88" s="200"/>
      <c r="B88" s="200"/>
      <c r="C88" s="200"/>
      <c r="D88" s="200"/>
      <c r="E88" s="200"/>
      <c r="F88" s="200"/>
      <c r="G88" s="200"/>
      <c r="H88" s="200"/>
      <c r="I88" s="200"/>
      <c r="J88" s="200"/>
      <c r="K88" s="200"/>
      <c r="L88" s="200"/>
    </row>
    <row r="89" spans="1:12">
      <c r="A89" s="200"/>
      <c r="B89" s="200"/>
      <c r="C89" s="200"/>
      <c r="D89" s="931" t="s">
        <v>4</v>
      </c>
      <c r="E89" s="931"/>
      <c r="F89" s="931"/>
      <c r="G89" s="931"/>
      <c r="H89" s="931"/>
      <c r="I89" s="931"/>
      <c r="J89" s="200"/>
      <c r="K89" s="200"/>
      <c r="L89" s="200"/>
    </row>
    <row r="90" spans="1:12" ht="18" customHeight="1">
      <c r="A90" s="200"/>
      <c r="B90" s="200"/>
      <c r="C90" s="200"/>
      <c r="D90" s="932" t="s">
        <v>107</v>
      </c>
      <c r="E90" s="933"/>
      <c r="F90" s="936" t="s">
        <v>108</v>
      </c>
      <c r="G90" s="936"/>
      <c r="H90" s="936"/>
      <c r="I90" s="937"/>
      <c r="J90" s="200"/>
      <c r="K90" s="200"/>
      <c r="L90" s="200"/>
    </row>
    <row r="91" spans="1:12" ht="5.0999999999999996" customHeight="1">
      <c r="A91" s="200"/>
      <c r="B91" s="200"/>
      <c r="C91" s="200"/>
      <c r="D91" s="152"/>
      <c r="E91" s="152"/>
      <c r="F91" s="152"/>
      <c r="G91" s="152"/>
      <c r="H91" s="152"/>
      <c r="I91" s="152"/>
      <c r="J91" s="200"/>
      <c r="K91" s="200"/>
      <c r="L91" s="200"/>
    </row>
    <row r="92" spans="1:12" ht="30" customHeight="1">
      <c r="A92" s="200"/>
      <c r="B92" s="200"/>
      <c r="C92" s="200"/>
      <c r="D92" s="904" t="s">
        <v>74</v>
      </c>
      <c r="E92" s="904"/>
      <c r="F92" s="905" t="s">
        <v>594</v>
      </c>
      <c r="G92" s="905"/>
      <c r="H92" s="905"/>
      <c r="I92" s="905"/>
      <c r="J92" s="200"/>
      <c r="K92" s="200"/>
      <c r="L92" s="200"/>
    </row>
    <row r="93" spans="1:12" ht="30" customHeight="1">
      <c r="A93" s="583"/>
      <c r="B93" s="583"/>
      <c r="C93" s="583"/>
      <c r="D93" s="904" t="s">
        <v>103</v>
      </c>
      <c r="E93" s="904"/>
      <c r="F93" s="905" t="s">
        <v>104</v>
      </c>
      <c r="G93" s="905"/>
      <c r="H93" s="905"/>
      <c r="I93" s="905"/>
      <c r="J93" s="583"/>
      <c r="K93" s="583"/>
      <c r="L93" s="583"/>
    </row>
    <row r="94" spans="1:12" ht="30" customHeight="1">
      <c r="A94" s="583"/>
      <c r="B94" s="583"/>
      <c r="C94" s="583"/>
      <c r="D94" s="904" t="s">
        <v>105</v>
      </c>
      <c r="E94" s="904"/>
      <c r="F94" s="905" t="s">
        <v>106</v>
      </c>
      <c r="G94" s="905"/>
      <c r="H94" s="905"/>
      <c r="I94" s="905"/>
      <c r="J94" s="583"/>
      <c r="K94" s="583"/>
      <c r="L94" s="583"/>
    </row>
    <row r="95" spans="1:12" ht="30" customHeight="1">
      <c r="A95" s="200"/>
      <c r="B95" s="200"/>
      <c r="C95" s="200"/>
      <c r="D95" s="904" t="s">
        <v>77</v>
      </c>
      <c r="E95" s="904"/>
      <c r="F95" s="905" t="s">
        <v>118</v>
      </c>
      <c r="G95" s="905"/>
      <c r="H95" s="905"/>
      <c r="I95" s="905"/>
      <c r="J95" s="200"/>
      <c r="K95" s="200"/>
      <c r="L95" s="200"/>
    </row>
    <row r="96" spans="1:12" ht="84" customHeight="1">
      <c r="A96" s="200"/>
      <c r="B96" s="200"/>
      <c r="C96" s="200"/>
      <c r="D96" s="904" t="s">
        <v>591</v>
      </c>
      <c r="E96" s="904"/>
      <c r="F96" s="905" t="s">
        <v>592</v>
      </c>
      <c r="G96" s="905"/>
      <c r="H96" s="905"/>
      <c r="I96" s="905"/>
      <c r="J96" s="200"/>
      <c r="K96" s="200"/>
      <c r="L96" s="200"/>
    </row>
    <row r="97" spans="1:12" ht="30" customHeight="1">
      <c r="A97" s="200"/>
      <c r="B97" s="200"/>
      <c r="C97" s="200"/>
      <c r="D97" s="904" t="s">
        <v>109</v>
      </c>
      <c r="E97" s="904"/>
      <c r="F97" s="905" t="s">
        <v>593</v>
      </c>
      <c r="G97" s="905"/>
      <c r="H97" s="905"/>
      <c r="I97" s="905"/>
      <c r="J97" s="200"/>
      <c r="K97" s="200"/>
      <c r="L97" s="200"/>
    </row>
    <row r="98" spans="1:12" ht="20.100000000000001" customHeight="1">
      <c r="A98" s="200"/>
      <c r="B98" s="200"/>
      <c r="C98" s="200"/>
      <c r="D98" s="152"/>
      <c r="E98" s="152"/>
      <c r="F98" s="152"/>
      <c r="G98" s="152"/>
      <c r="H98" s="152"/>
      <c r="I98" s="152"/>
      <c r="J98" s="200"/>
      <c r="K98" s="200"/>
      <c r="L98" s="200"/>
    </row>
    <row r="99" spans="1:12">
      <c r="A99" s="200"/>
      <c r="B99" s="200"/>
      <c r="C99" s="200"/>
      <c r="D99" s="938" t="s">
        <v>5</v>
      </c>
      <c r="E99" s="938"/>
      <c r="F99" s="938"/>
      <c r="G99" s="938"/>
      <c r="H99" s="938"/>
      <c r="I99" s="938"/>
      <c r="J99" s="200"/>
      <c r="K99" s="200"/>
      <c r="L99" s="200"/>
    </row>
    <row r="100" spans="1:12" ht="18" customHeight="1">
      <c r="A100" s="200"/>
      <c r="B100" s="200"/>
      <c r="C100" s="200"/>
      <c r="D100" s="927" t="s">
        <v>107</v>
      </c>
      <c r="E100" s="928"/>
      <c r="F100" s="929" t="s">
        <v>108</v>
      </c>
      <c r="G100" s="929"/>
      <c r="H100" s="929"/>
      <c r="I100" s="930"/>
      <c r="J100" s="200"/>
      <c r="K100" s="200"/>
      <c r="L100" s="200"/>
    </row>
    <row r="101" spans="1:12" ht="5.0999999999999996" customHeight="1">
      <c r="A101" s="200"/>
      <c r="B101" s="200"/>
      <c r="C101" s="200"/>
      <c r="D101" s="152"/>
      <c r="E101" s="152"/>
      <c r="F101" s="152"/>
      <c r="G101" s="152"/>
      <c r="H101" s="152"/>
      <c r="I101" s="152"/>
      <c r="J101" s="200"/>
      <c r="K101" s="200"/>
      <c r="L101" s="200"/>
    </row>
    <row r="102" spans="1:12" ht="30" customHeight="1">
      <c r="A102" s="583"/>
      <c r="B102" s="583"/>
      <c r="C102" s="583"/>
      <c r="D102" s="904" t="s">
        <v>606</v>
      </c>
      <c r="E102" s="904"/>
      <c r="F102" s="905" t="s">
        <v>607</v>
      </c>
      <c r="G102" s="905"/>
      <c r="H102" s="905"/>
      <c r="I102" s="905"/>
      <c r="J102" s="583"/>
      <c r="K102" s="583"/>
      <c r="L102" s="583"/>
    </row>
    <row r="103" spans="1:12" ht="45" customHeight="1">
      <c r="A103" s="583"/>
      <c r="B103" s="583"/>
      <c r="C103" s="583"/>
      <c r="D103" s="904" t="s">
        <v>613</v>
      </c>
      <c r="E103" s="904"/>
      <c r="F103" s="905" t="s">
        <v>608</v>
      </c>
      <c r="G103" s="905"/>
      <c r="H103" s="905"/>
      <c r="I103" s="905"/>
      <c r="J103" s="583"/>
      <c r="K103" s="583"/>
      <c r="L103" s="583"/>
    </row>
    <row r="104" spans="1:12" ht="45" customHeight="1">
      <c r="A104" s="583"/>
      <c r="B104" s="583"/>
      <c r="C104" s="583"/>
      <c r="D104" s="904" t="s">
        <v>596</v>
      </c>
      <c r="E104" s="904"/>
      <c r="F104" s="905" t="s">
        <v>597</v>
      </c>
      <c r="G104" s="905"/>
      <c r="H104" s="905"/>
      <c r="I104" s="905"/>
      <c r="J104" s="583"/>
      <c r="K104" s="583"/>
      <c r="L104" s="583"/>
    </row>
    <row r="105" spans="1:12" ht="66" customHeight="1">
      <c r="A105" s="583"/>
      <c r="B105" s="583"/>
      <c r="C105" s="583"/>
      <c r="D105" s="904" t="s">
        <v>598</v>
      </c>
      <c r="E105" s="904"/>
      <c r="F105" s="905" t="s">
        <v>602</v>
      </c>
      <c r="G105" s="905"/>
      <c r="H105" s="905"/>
      <c r="I105" s="905"/>
      <c r="J105" s="583"/>
      <c r="K105" s="583"/>
      <c r="L105" s="583"/>
    </row>
    <row r="106" spans="1:12" ht="56.1" customHeight="1">
      <c r="A106" s="583"/>
      <c r="B106" s="583"/>
      <c r="C106" s="583"/>
      <c r="D106" s="904" t="s">
        <v>599</v>
      </c>
      <c r="E106" s="904"/>
      <c r="F106" s="905" t="s">
        <v>603</v>
      </c>
      <c r="G106" s="905"/>
      <c r="H106" s="905"/>
      <c r="I106" s="905"/>
      <c r="J106" s="583"/>
      <c r="K106" s="583"/>
      <c r="L106" s="583"/>
    </row>
    <row r="107" spans="1:12" ht="45" customHeight="1">
      <c r="A107" s="583"/>
      <c r="B107" s="583"/>
      <c r="C107" s="583"/>
      <c r="D107" s="904" t="s">
        <v>600</v>
      </c>
      <c r="E107" s="904"/>
      <c r="F107" s="905" t="s">
        <v>604</v>
      </c>
      <c r="G107" s="905"/>
      <c r="H107" s="905"/>
      <c r="I107" s="905"/>
      <c r="J107" s="583"/>
      <c r="K107" s="583"/>
      <c r="L107" s="583"/>
    </row>
    <row r="108" spans="1:12" ht="45" customHeight="1">
      <c r="A108" s="583"/>
      <c r="B108" s="583"/>
      <c r="C108" s="583"/>
      <c r="D108" s="904" t="s">
        <v>601</v>
      </c>
      <c r="E108" s="904"/>
      <c r="F108" s="905" t="s">
        <v>605</v>
      </c>
      <c r="G108" s="905"/>
      <c r="H108" s="905"/>
      <c r="I108" s="905"/>
      <c r="J108" s="583"/>
      <c r="K108" s="583"/>
      <c r="L108" s="583"/>
    </row>
    <row r="109" spans="1:12" ht="45" customHeight="1">
      <c r="A109" s="583"/>
      <c r="B109" s="583"/>
      <c r="C109" s="583"/>
      <c r="D109" s="904" t="s">
        <v>609</v>
      </c>
      <c r="E109" s="904"/>
      <c r="F109" s="905" t="s">
        <v>611</v>
      </c>
      <c r="G109" s="905"/>
      <c r="H109" s="905"/>
      <c r="I109" s="905"/>
      <c r="J109" s="583"/>
      <c r="K109" s="583"/>
      <c r="L109" s="583"/>
    </row>
    <row r="110" spans="1:12" ht="56.1" customHeight="1">
      <c r="A110" s="583"/>
      <c r="B110" s="583"/>
      <c r="C110" s="583"/>
      <c r="D110" s="904" t="s">
        <v>610</v>
      </c>
      <c r="E110" s="904"/>
      <c r="F110" s="905" t="s">
        <v>612</v>
      </c>
      <c r="G110" s="905"/>
      <c r="H110" s="905"/>
      <c r="I110" s="905"/>
      <c r="J110" s="583"/>
      <c r="K110" s="583"/>
      <c r="L110" s="583"/>
    </row>
    <row r="111" spans="1:12" ht="30" customHeight="1">
      <c r="A111" s="583"/>
      <c r="B111" s="583"/>
      <c r="C111" s="583"/>
      <c r="D111" s="904" t="s">
        <v>221</v>
      </c>
      <c r="E111" s="904"/>
      <c r="F111" s="905" t="s">
        <v>623</v>
      </c>
      <c r="G111" s="905"/>
      <c r="H111" s="905"/>
      <c r="I111" s="905"/>
      <c r="J111" s="583"/>
      <c r="K111" s="583"/>
      <c r="L111" s="583"/>
    </row>
    <row r="112" spans="1:12" ht="30" customHeight="1">
      <c r="A112" s="583"/>
      <c r="B112" s="583"/>
      <c r="C112" s="583"/>
      <c r="D112" s="904" t="s">
        <v>614</v>
      </c>
      <c r="E112" s="904"/>
      <c r="F112" s="905" t="s">
        <v>624</v>
      </c>
      <c r="G112" s="905"/>
      <c r="H112" s="905"/>
      <c r="I112" s="905"/>
      <c r="J112" s="583"/>
      <c r="K112" s="583"/>
      <c r="L112" s="583"/>
    </row>
    <row r="113" spans="1:12" ht="30" customHeight="1">
      <c r="A113" s="583"/>
      <c r="B113" s="583"/>
      <c r="C113" s="583"/>
      <c r="D113" s="904" t="s">
        <v>615</v>
      </c>
      <c r="E113" s="904"/>
      <c r="F113" s="905" t="s">
        <v>625</v>
      </c>
      <c r="G113" s="905"/>
      <c r="H113" s="905"/>
      <c r="I113" s="905"/>
      <c r="J113" s="583"/>
      <c r="K113" s="583"/>
      <c r="L113" s="583"/>
    </row>
    <row r="114" spans="1:12" ht="45" customHeight="1">
      <c r="A114" s="583"/>
      <c r="B114" s="583"/>
      <c r="C114" s="583"/>
      <c r="D114" s="904" t="s">
        <v>616</v>
      </c>
      <c r="E114" s="904"/>
      <c r="F114" s="905" t="s">
        <v>626</v>
      </c>
      <c r="G114" s="905"/>
      <c r="H114" s="905"/>
      <c r="I114" s="905"/>
      <c r="J114" s="583"/>
      <c r="K114" s="583"/>
      <c r="L114" s="583"/>
    </row>
    <row r="115" spans="1:12" ht="30" customHeight="1">
      <c r="A115" s="583"/>
      <c r="B115" s="583"/>
      <c r="C115" s="583"/>
      <c r="D115" s="904" t="s">
        <v>617</v>
      </c>
      <c r="E115" s="904"/>
      <c r="F115" s="905" t="s">
        <v>627</v>
      </c>
      <c r="G115" s="905"/>
      <c r="H115" s="905"/>
      <c r="I115" s="905"/>
      <c r="J115" s="583"/>
      <c r="K115" s="583"/>
      <c r="L115" s="583"/>
    </row>
    <row r="116" spans="1:12" ht="45" customHeight="1">
      <c r="A116" s="583"/>
      <c r="B116" s="583"/>
      <c r="C116" s="583"/>
      <c r="D116" s="904" t="s">
        <v>618</v>
      </c>
      <c r="E116" s="904"/>
      <c r="F116" s="905" t="s">
        <v>628</v>
      </c>
      <c r="G116" s="905"/>
      <c r="H116" s="905"/>
      <c r="I116" s="905"/>
      <c r="J116" s="583"/>
      <c r="K116" s="583"/>
      <c r="L116" s="583"/>
    </row>
    <row r="117" spans="1:12" ht="30" customHeight="1">
      <c r="A117" s="583"/>
      <c r="B117" s="583"/>
      <c r="C117" s="583"/>
      <c r="D117" s="904" t="s">
        <v>619</v>
      </c>
      <c r="E117" s="904"/>
      <c r="F117" s="905" t="s">
        <v>629</v>
      </c>
      <c r="G117" s="905"/>
      <c r="H117" s="905"/>
      <c r="I117" s="905"/>
      <c r="J117" s="583"/>
      <c r="K117" s="583"/>
      <c r="L117" s="583"/>
    </row>
    <row r="118" spans="1:12" ht="30" customHeight="1">
      <c r="A118" s="200"/>
      <c r="B118" s="200"/>
      <c r="C118" s="200"/>
      <c r="D118" s="904" t="s">
        <v>620</v>
      </c>
      <c r="E118" s="904"/>
      <c r="F118" s="905" t="s">
        <v>630</v>
      </c>
      <c r="G118" s="905"/>
      <c r="H118" s="905"/>
      <c r="I118" s="905"/>
      <c r="J118" s="200"/>
      <c r="K118" s="200"/>
      <c r="L118" s="200"/>
    </row>
    <row r="119" spans="1:12" ht="30" customHeight="1">
      <c r="A119" s="200"/>
      <c r="B119" s="200"/>
      <c r="C119" s="200"/>
      <c r="D119" s="904" t="s">
        <v>621</v>
      </c>
      <c r="E119" s="904"/>
      <c r="F119" s="905" t="s">
        <v>631</v>
      </c>
      <c r="G119" s="905"/>
      <c r="H119" s="905"/>
      <c r="I119" s="905"/>
      <c r="J119" s="200"/>
      <c r="K119" s="200"/>
      <c r="L119" s="200"/>
    </row>
    <row r="120" spans="1:12" ht="45" customHeight="1">
      <c r="A120" s="200"/>
      <c r="B120" s="200"/>
      <c r="C120" s="200"/>
      <c r="D120" s="904" t="s">
        <v>622</v>
      </c>
      <c r="E120" s="904"/>
      <c r="F120" s="905" t="s">
        <v>632</v>
      </c>
      <c r="G120" s="905"/>
      <c r="H120" s="905"/>
      <c r="I120" s="905"/>
      <c r="J120" s="200"/>
      <c r="K120" s="200"/>
      <c r="L120" s="200"/>
    </row>
    <row r="121" spans="1:12" ht="20.100000000000001" customHeight="1">
      <c r="A121" s="200"/>
      <c r="B121" s="200"/>
      <c r="C121" s="200"/>
      <c r="D121" s="152"/>
      <c r="E121" s="152"/>
      <c r="F121" s="152"/>
      <c r="G121" s="152"/>
      <c r="H121" s="152"/>
      <c r="I121" s="152"/>
      <c r="J121" s="200"/>
      <c r="K121" s="200"/>
      <c r="L121" s="200"/>
    </row>
    <row r="122" spans="1:12">
      <c r="A122" s="200"/>
      <c r="B122" s="200"/>
      <c r="C122" s="200"/>
      <c r="D122" s="911" t="s">
        <v>6</v>
      </c>
      <c r="E122" s="911"/>
      <c r="F122" s="911"/>
      <c r="G122" s="911"/>
      <c r="H122" s="911"/>
      <c r="I122" s="911"/>
      <c r="J122" s="200"/>
      <c r="K122" s="200"/>
      <c r="L122" s="200"/>
    </row>
    <row r="123" spans="1:12" ht="18" customHeight="1">
      <c r="A123" s="200"/>
      <c r="B123" s="200"/>
      <c r="C123" s="200"/>
      <c r="D123" s="912" t="s">
        <v>107</v>
      </c>
      <c r="E123" s="913"/>
      <c r="F123" s="914" t="s">
        <v>108</v>
      </c>
      <c r="G123" s="914"/>
      <c r="H123" s="914"/>
      <c r="I123" s="915"/>
      <c r="J123" s="200"/>
      <c r="K123" s="200"/>
      <c r="L123" s="200"/>
    </row>
    <row r="124" spans="1:12" ht="5.0999999999999996" customHeight="1">
      <c r="A124" s="200"/>
      <c r="B124" s="200"/>
      <c r="C124" s="200"/>
      <c r="D124" s="152"/>
      <c r="E124" s="152"/>
      <c r="F124" s="152"/>
      <c r="G124" s="152"/>
      <c r="H124" s="152"/>
      <c r="I124" s="152"/>
      <c r="J124" s="200"/>
      <c r="K124" s="200"/>
      <c r="L124" s="200"/>
    </row>
    <row r="125" spans="1:12" ht="45" customHeight="1">
      <c r="A125" s="583"/>
      <c r="B125" s="583"/>
      <c r="C125" s="583"/>
      <c r="D125" s="904" t="s">
        <v>633</v>
      </c>
      <c r="E125" s="904"/>
      <c r="F125" s="905" t="s">
        <v>636</v>
      </c>
      <c r="G125" s="905"/>
      <c r="H125" s="905"/>
      <c r="I125" s="905"/>
      <c r="J125" s="583"/>
      <c r="K125" s="583"/>
      <c r="L125" s="583"/>
    </row>
    <row r="126" spans="1:12" ht="45" customHeight="1">
      <c r="A126" s="583"/>
      <c r="B126" s="583"/>
      <c r="C126" s="583"/>
      <c r="D126" s="904" t="s">
        <v>634</v>
      </c>
      <c r="E126" s="904"/>
      <c r="F126" s="905" t="s">
        <v>637</v>
      </c>
      <c r="G126" s="905"/>
      <c r="H126" s="905"/>
      <c r="I126" s="905"/>
      <c r="J126" s="583"/>
      <c r="K126" s="583"/>
      <c r="L126" s="583"/>
    </row>
    <row r="127" spans="1:12" ht="45" customHeight="1">
      <c r="A127" s="583"/>
      <c r="B127" s="583"/>
      <c r="C127" s="583"/>
      <c r="D127" s="904" t="s">
        <v>635</v>
      </c>
      <c r="E127" s="904"/>
      <c r="F127" s="905" t="s">
        <v>638</v>
      </c>
      <c r="G127" s="905"/>
      <c r="H127" s="905"/>
      <c r="I127" s="905"/>
      <c r="J127" s="583"/>
      <c r="K127" s="583"/>
      <c r="L127" s="583"/>
    </row>
    <row r="128" spans="1:12" ht="20.100000000000001" customHeight="1">
      <c r="A128" s="200"/>
      <c r="B128" s="200"/>
      <c r="C128" s="200"/>
      <c r="D128" s="152"/>
      <c r="E128" s="152"/>
      <c r="F128" s="152"/>
      <c r="G128" s="152"/>
      <c r="H128" s="152"/>
      <c r="I128" s="152"/>
      <c r="J128" s="200"/>
      <c r="K128" s="200"/>
      <c r="L128" s="200"/>
    </row>
    <row r="129" spans="1:12">
      <c r="A129" s="200"/>
      <c r="B129" s="200"/>
      <c r="C129" s="200"/>
      <c r="D129" s="906" t="s">
        <v>7</v>
      </c>
      <c r="E129" s="906"/>
      <c r="F129" s="906"/>
      <c r="G129" s="906"/>
      <c r="H129" s="906"/>
      <c r="I129" s="906"/>
      <c r="J129" s="200"/>
      <c r="K129" s="200"/>
      <c r="L129" s="200"/>
    </row>
    <row r="130" spans="1:12" ht="18" customHeight="1">
      <c r="A130" s="200"/>
      <c r="B130" s="200"/>
      <c r="C130" s="200"/>
      <c r="D130" s="907" t="s">
        <v>107</v>
      </c>
      <c r="E130" s="908"/>
      <c r="F130" s="909" t="s">
        <v>108</v>
      </c>
      <c r="G130" s="909"/>
      <c r="H130" s="909"/>
      <c r="I130" s="910"/>
      <c r="J130" s="200"/>
      <c r="K130" s="200"/>
      <c r="L130" s="200"/>
    </row>
    <row r="131" spans="1:12" ht="5.0999999999999996" customHeight="1">
      <c r="A131" s="200"/>
      <c r="B131" s="200"/>
      <c r="C131" s="200"/>
      <c r="D131" s="152"/>
      <c r="E131" s="152"/>
      <c r="F131" s="152"/>
      <c r="G131" s="152"/>
      <c r="H131" s="152"/>
      <c r="I131" s="152"/>
      <c r="J131" s="200"/>
      <c r="K131" s="200"/>
      <c r="L131" s="200"/>
    </row>
    <row r="132" spans="1:12" ht="30" customHeight="1">
      <c r="A132" s="200"/>
      <c r="B132" s="200"/>
      <c r="C132" s="200"/>
      <c r="D132" s="904" t="s">
        <v>639</v>
      </c>
      <c r="E132" s="904"/>
      <c r="F132" s="905" t="s">
        <v>650</v>
      </c>
      <c r="G132" s="905"/>
      <c r="H132" s="905"/>
      <c r="I132" s="905"/>
      <c r="J132" s="200"/>
      <c r="K132" s="200"/>
      <c r="L132" s="200"/>
    </row>
    <row r="133" spans="1:12" ht="30" customHeight="1">
      <c r="A133" s="200"/>
      <c r="B133" s="200"/>
      <c r="C133" s="200"/>
      <c r="D133" s="904" t="s">
        <v>640</v>
      </c>
      <c r="E133" s="904"/>
      <c r="F133" s="905" t="s">
        <v>651</v>
      </c>
      <c r="G133" s="905"/>
      <c r="H133" s="905"/>
      <c r="I133" s="905"/>
      <c r="J133" s="200"/>
      <c r="K133" s="200"/>
      <c r="L133" s="200"/>
    </row>
    <row r="134" spans="1:12" ht="30" customHeight="1">
      <c r="A134" s="200"/>
      <c r="B134" s="200"/>
      <c r="C134" s="200"/>
      <c r="D134" s="904" t="s">
        <v>110</v>
      </c>
      <c r="E134" s="904"/>
      <c r="F134" s="905" t="s">
        <v>652</v>
      </c>
      <c r="G134" s="905"/>
      <c r="H134" s="905"/>
      <c r="I134" s="905"/>
      <c r="J134" s="200"/>
      <c r="K134" s="200"/>
      <c r="L134" s="200"/>
    </row>
    <row r="135" spans="1:12" ht="30" customHeight="1">
      <c r="A135" s="200"/>
      <c r="B135" s="200"/>
      <c r="C135" s="200"/>
      <c r="D135" s="904" t="s">
        <v>111</v>
      </c>
      <c r="E135" s="904"/>
      <c r="F135" s="905" t="s">
        <v>653</v>
      </c>
      <c r="G135" s="905"/>
      <c r="H135" s="905"/>
      <c r="I135" s="905"/>
      <c r="J135" s="200"/>
      <c r="K135" s="200"/>
      <c r="L135" s="200"/>
    </row>
    <row r="136" spans="1:12" ht="30" customHeight="1">
      <c r="A136" s="200"/>
      <c r="B136" s="200"/>
      <c r="C136" s="200"/>
      <c r="D136" s="904" t="s">
        <v>128</v>
      </c>
      <c r="E136" s="904"/>
      <c r="F136" s="905" t="s">
        <v>654</v>
      </c>
      <c r="G136" s="905"/>
      <c r="H136" s="905"/>
      <c r="I136" s="905"/>
      <c r="J136" s="200"/>
      <c r="K136" s="200"/>
      <c r="L136" s="200"/>
    </row>
    <row r="137" spans="1:12" ht="30" customHeight="1">
      <c r="A137" s="200"/>
      <c r="B137" s="200"/>
      <c r="C137" s="200"/>
      <c r="D137" s="904" t="s">
        <v>641</v>
      </c>
      <c r="E137" s="904"/>
      <c r="F137" s="905" t="s">
        <v>655</v>
      </c>
      <c r="G137" s="905"/>
      <c r="H137" s="905"/>
      <c r="I137" s="905"/>
      <c r="J137" s="200"/>
      <c r="K137" s="200"/>
      <c r="L137" s="200"/>
    </row>
    <row r="138" spans="1:12" ht="30" customHeight="1">
      <c r="A138" s="200"/>
      <c r="B138" s="200"/>
      <c r="C138" s="200"/>
      <c r="D138" s="904" t="s">
        <v>642</v>
      </c>
      <c r="E138" s="904"/>
      <c r="F138" s="905" t="s">
        <v>656</v>
      </c>
      <c r="G138" s="905"/>
      <c r="H138" s="905"/>
      <c r="I138" s="905"/>
      <c r="J138" s="200"/>
      <c r="K138" s="200"/>
      <c r="L138" s="200"/>
    </row>
    <row r="139" spans="1:12" ht="30" customHeight="1">
      <c r="A139" s="406"/>
      <c r="B139" s="406"/>
      <c r="C139" s="406"/>
      <c r="D139" s="904" t="s">
        <v>643</v>
      </c>
      <c r="E139" s="904"/>
      <c r="F139" s="905" t="s">
        <v>657</v>
      </c>
      <c r="G139" s="905"/>
      <c r="H139" s="905"/>
      <c r="I139" s="905"/>
      <c r="J139" s="406"/>
      <c r="K139" s="406"/>
      <c r="L139" s="406"/>
    </row>
    <row r="140" spans="1:12" ht="45" customHeight="1">
      <c r="A140" s="200"/>
      <c r="B140" s="200"/>
      <c r="C140" s="200"/>
      <c r="D140" s="904" t="s">
        <v>224</v>
      </c>
      <c r="E140" s="904"/>
      <c r="F140" s="905" t="s">
        <v>658</v>
      </c>
      <c r="G140" s="905"/>
      <c r="H140" s="905"/>
      <c r="I140" s="905"/>
      <c r="J140" s="200"/>
      <c r="K140" s="200"/>
      <c r="L140" s="200"/>
    </row>
    <row r="141" spans="1:12" ht="56.1" customHeight="1">
      <c r="A141" s="583"/>
      <c r="B141" s="583"/>
      <c r="C141" s="583"/>
      <c r="D141" s="904" t="s">
        <v>644</v>
      </c>
      <c r="E141" s="904"/>
      <c r="F141" s="905" t="s">
        <v>659</v>
      </c>
      <c r="G141" s="905"/>
      <c r="H141" s="905"/>
      <c r="I141" s="905"/>
      <c r="J141" s="583"/>
      <c r="K141" s="583"/>
      <c r="L141" s="583"/>
    </row>
    <row r="142" spans="1:12" ht="56.1" customHeight="1">
      <c r="A142" s="583"/>
      <c r="B142" s="583"/>
      <c r="C142" s="583"/>
      <c r="D142" s="904" t="s">
        <v>645</v>
      </c>
      <c r="E142" s="904"/>
      <c r="F142" s="905" t="s">
        <v>660</v>
      </c>
      <c r="G142" s="905"/>
      <c r="H142" s="905"/>
      <c r="I142" s="905"/>
      <c r="J142" s="583"/>
      <c r="K142" s="583"/>
      <c r="L142" s="583"/>
    </row>
    <row r="143" spans="1:12" ht="45" customHeight="1">
      <c r="A143" s="583"/>
      <c r="B143" s="583"/>
      <c r="C143" s="583"/>
      <c r="D143" s="904" t="s">
        <v>646</v>
      </c>
      <c r="E143" s="904"/>
      <c r="F143" s="905" t="s">
        <v>661</v>
      </c>
      <c r="G143" s="905"/>
      <c r="H143" s="905"/>
      <c r="I143" s="905"/>
      <c r="J143" s="583"/>
      <c r="K143" s="583"/>
      <c r="L143" s="583"/>
    </row>
    <row r="144" spans="1:12" ht="45" customHeight="1">
      <c r="A144" s="583"/>
      <c r="B144" s="583"/>
      <c r="C144" s="583"/>
      <c r="D144" s="904" t="s">
        <v>647</v>
      </c>
      <c r="E144" s="904"/>
      <c r="F144" s="905" t="s">
        <v>662</v>
      </c>
      <c r="G144" s="905"/>
      <c r="H144" s="905"/>
      <c r="I144" s="905"/>
      <c r="J144" s="583"/>
      <c r="K144" s="583"/>
      <c r="L144" s="583"/>
    </row>
    <row r="145" spans="1:12" ht="30" customHeight="1">
      <c r="A145" s="583"/>
      <c r="B145" s="583"/>
      <c r="C145" s="583"/>
      <c r="D145" s="904" t="s">
        <v>391</v>
      </c>
      <c r="E145" s="904"/>
      <c r="F145" s="905" t="s">
        <v>663</v>
      </c>
      <c r="G145" s="905"/>
      <c r="H145" s="905"/>
      <c r="I145" s="905"/>
      <c r="J145" s="583"/>
      <c r="K145" s="583"/>
      <c r="L145" s="583"/>
    </row>
    <row r="146" spans="1:12" ht="30" customHeight="1">
      <c r="A146" s="583"/>
      <c r="B146" s="583"/>
      <c r="C146" s="583"/>
      <c r="D146" s="904" t="s">
        <v>479</v>
      </c>
      <c r="E146" s="904"/>
      <c r="F146" s="905" t="s">
        <v>664</v>
      </c>
      <c r="G146" s="905"/>
      <c r="H146" s="905"/>
      <c r="I146" s="905"/>
      <c r="J146" s="583"/>
      <c r="K146" s="583"/>
      <c r="L146" s="583"/>
    </row>
    <row r="147" spans="1:12" ht="30" customHeight="1">
      <c r="A147" s="583"/>
      <c r="B147" s="583"/>
      <c r="C147" s="583"/>
      <c r="D147" s="904" t="s">
        <v>648</v>
      </c>
      <c r="E147" s="904"/>
      <c r="F147" s="905" t="s">
        <v>665</v>
      </c>
      <c r="G147" s="905"/>
      <c r="H147" s="905"/>
      <c r="I147" s="905"/>
      <c r="J147" s="583"/>
      <c r="K147" s="583"/>
      <c r="L147" s="583"/>
    </row>
    <row r="148" spans="1:12" ht="30" customHeight="1">
      <c r="A148" s="583"/>
      <c r="B148" s="583"/>
      <c r="C148" s="583"/>
      <c r="D148" s="904" t="s">
        <v>649</v>
      </c>
      <c r="E148" s="904"/>
      <c r="F148" s="905" t="s">
        <v>667</v>
      </c>
      <c r="G148" s="905"/>
      <c r="H148" s="905"/>
      <c r="I148" s="905"/>
      <c r="J148" s="583"/>
      <c r="K148" s="583"/>
      <c r="L148" s="583"/>
    </row>
    <row r="149" spans="1:12" ht="30" customHeight="1">
      <c r="A149" s="583"/>
      <c r="B149" s="583"/>
      <c r="C149" s="583"/>
      <c r="D149" s="904" t="s">
        <v>481</v>
      </c>
      <c r="E149" s="904"/>
      <c r="F149" s="905" t="s">
        <v>666</v>
      </c>
      <c r="G149" s="905"/>
      <c r="H149" s="905"/>
      <c r="I149" s="905"/>
      <c r="J149" s="583"/>
      <c r="K149" s="583"/>
      <c r="L149" s="583"/>
    </row>
    <row r="150" spans="1:12" ht="18" customHeight="1">
      <c r="A150" s="200"/>
      <c r="B150" s="200"/>
      <c r="C150" s="200"/>
      <c r="D150" s="941"/>
      <c r="E150" s="941"/>
      <c r="F150" s="905"/>
      <c r="G150" s="905"/>
      <c r="H150" s="905"/>
      <c r="I150" s="905"/>
      <c r="J150" s="200"/>
      <c r="K150" s="200"/>
      <c r="L150" s="200"/>
    </row>
    <row r="151" spans="1:12" ht="18" customHeight="1">
      <c r="A151" s="200"/>
      <c r="B151" s="200"/>
      <c r="C151" s="200"/>
      <c r="D151" s="941"/>
      <c r="E151" s="941"/>
      <c r="F151" s="905"/>
      <c r="G151" s="905"/>
      <c r="H151" s="905"/>
      <c r="I151" s="905"/>
      <c r="J151" s="200"/>
      <c r="K151" s="200"/>
      <c r="L151" s="200"/>
    </row>
    <row r="152" spans="1:12">
      <c r="A152" s="200"/>
      <c r="B152" s="200"/>
      <c r="C152" s="934" t="s">
        <v>28</v>
      </c>
      <c r="D152" s="934"/>
      <c r="E152" s="200"/>
      <c r="F152" s="200"/>
      <c r="G152" s="200"/>
      <c r="H152" s="200"/>
      <c r="I152" s="200"/>
      <c r="J152" s="200"/>
      <c r="K152" s="200"/>
      <c r="L152" s="200"/>
    </row>
    <row r="153" spans="1:12">
      <c r="A153" s="200"/>
      <c r="B153" s="200"/>
      <c r="C153" s="200"/>
      <c r="D153" s="200"/>
      <c r="E153" s="200"/>
      <c r="F153" s="200"/>
      <c r="G153" s="200"/>
      <c r="H153" s="200"/>
      <c r="I153" s="200"/>
      <c r="J153" s="200"/>
      <c r="K153" s="200"/>
      <c r="L153" s="200"/>
    </row>
    <row r="154" spans="1:12">
      <c r="A154" s="200"/>
      <c r="B154" s="200"/>
      <c r="C154" s="200"/>
      <c r="D154" s="200"/>
      <c r="E154" s="200"/>
      <c r="F154" s="200"/>
      <c r="G154" s="200"/>
      <c r="H154" s="200"/>
      <c r="I154" s="200"/>
      <c r="J154" s="200"/>
      <c r="K154" s="200"/>
      <c r="L154" s="200"/>
    </row>
    <row r="155" spans="1:12">
      <c r="A155" s="200"/>
      <c r="B155" s="200"/>
      <c r="C155" s="200"/>
      <c r="D155" s="200"/>
      <c r="E155" s="200"/>
      <c r="F155" s="200"/>
      <c r="G155" s="200"/>
      <c r="H155" s="200"/>
      <c r="I155" s="200"/>
      <c r="J155" s="200"/>
      <c r="K155" s="200"/>
      <c r="L155" s="200"/>
    </row>
    <row r="156" spans="1:12">
      <c r="A156" s="200"/>
      <c r="B156" s="200"/>
      <c r="C156" s="200"/>
      <c r="D156" s="200"/>
      <c r="E156" s="200"/>
      <c r="F156" s="200"/>
      <c r="G156" s="200"/>
      <c r="H156" s="200"/>
      <c r="I156" s="200"/>
      <c r="J156" s="200"/>
      <c r="K156" s="200"/>
      <c r="L156" s="200"/>
    </row>
    <row r="157" spans="1:12" ht="15" thickBot="1">
      <c r="A157" s="200"/>
      <c r="B157" s="200"/>
      <c r="C157" s="200"/>
      <c r="D157" s="200"/>
      <c r="E157" s="200"/>
      <c r="F157" s="200"/>
      <c r="G157" s="200"/>
      <c r="H157" s="200"/>
      <c r="I157" s="200"/>
      <c r="J157" s="200"/>
      <c r="K157" s="200"/>
      <c r="L157" s="200"/>
    </row>
    <row r="158" spans="1:12" ht="9.9499999999999993" customHeight="1">
      <c r="A158" s="200"/>
      <c r="B158" s="608"/>
      <c r="C158" s="608"/>
      <c r="D158" s="608"/>
      <c r="E158" s="608"/>
      <c r="F158" s="608"/>
      <c r="G158" s="608"/>
      <c r="H158" s="608"/>
      <c r="I158" s="608"/>
      <c r="J158" s="608"/>
      <c r="K158" s="608"/>
      <c r="L158" s="200"/>
    </row>
  </sheetData>
  <mergeCells count="202">
    <mergeCell ref="D21:F21"/>
    <mergeCell ref="B158:K158"/>
    <mergeCell ref="E54:J54"/>
    <mergeCell ref="D37:F37"/>
    <mergeCell ref="D38:F38"/>
    <mergeCell ref="D39:F39"/>
    <mergeCell ref="H38:I38"/>
    <mergeCell ref="C152:D152"/>
    <mergeCell ref="H14:I14"/>
    <mergeCell ref="H15:I15"/>
    <mergeCell ref="H16:I16"/>
    <mergeCell ref="H17:I17"/>
    <mergeCell ref="H18:I18"/>
    <mergeCell ref="H19:I19"/>
    <mergeCell ref="H20:I20"/>
    <mergeCell ref="H21:I21"/>
    <mergeCell ref="H22:I22"/>
    <mergeCell ref="D140:E140"/>
    <mergeCell ref="F140:I140"/>
    <mergeCell ref="D150:E150"/>
    <mergeCell ref="F150:I150"/>
    <mergeCell ref="D151:E151"/>
    <mergeCell ref="F151:I151"/>
    <mergeCell ref="D136:E136"/>
    <mergeCell ref="D93:E93"/>
    <mergeCell ref="D94:E94"/>
    <mergeCell ref="F93:I93"/>
    <mergeCell ref="F94:I94"/>
    <mergeCell ref="D114:E114"/>
    <mergeCell ref="F114:I114"/>
    <mergeCell ref="D115:E115"/>
    <mergeCell ref="D95:E95"/>
    <mergeCell ref="F95:I95"/>
    <mergeCell ref="D96:E96"/>
    <mergeCell ref="F96:I96"/>
    <mergeCell ref="D97:E97"/>
    <mergeCell ref="F97:I97"/>
    <mergeCell ref="D99:I99"/>
    <mergeCell ref="D102:E102"/>
    <mergeCell ref="F102:I102"/>
    <mergeCell ref="D104:E104"/>
    <mergeCell ref="F104:I104"/>
    <mergeCell ref="D105:E105"/>
    <mergeCell ref="F105:I105"/>
    <mergeCell ref="D103:E103"/>
    <mergeCell ref="F103:I103"/>
    <mergeCell ref="D120:E120"/>
    <mergeCell ref="F120:I120"/>
    <mergeCell ref="D118:E118"/>
    <mergeCell ref="F118:I118"/>
    <mergeCell ref="D119:E119"/>
    <mergeCell ref="F119:I119"/>
    <mergeCell ref="D100:E100"/>
    <mergeCell ref="F100:I100"/>
    <mergeCell ref="E51:J51"/>
    <mergeCell ref="E76:J76"/>
    <mergeCell ref="E79:J79"/>
    <mergeCell ref="F92:I92"/>
    <mergeCell ref="D89:I89"/>
    <mergeCell ref="D90:E90"/>
    <mergeCell ref="C86:J86"/>
    <mergeCell ref="C87:J87"/>
    <mergeCell ref="C84:D84"/>
    <mergeCell ref="E78:J78"/>
    <mergeCell ref="E80:J80"/>
    <mergeCell ref="E81:J81"/>
    <mergeCell ref="E82:J82"/>
    <mergeCell ref="E83:J83"/>
    <mergeCell ref="F90:I90"/>
    <mergeCell ref="D92:E92"/>
    <mergeCell ref="E50:J50"/>
    <mergeCell ref="E63:J63"/>
    <mergeCell ref="E67:J67"/>
    <mergeCell ref="E72:J72"/>
    <mergeCell ref="E71:J71"/>
    <mergeCell ref="E73:J73"/>
    <mergeCell ref="E70:J70"/>
    <mergeCell ref="E49:J49"/>
    <mergeCell ref="C47:J47"/>
    <mergeCell ref="E52:J52"/>
    <mergeCell ref="E55:J55"/>
    <mergeCell ref="E57:J57"/>
    <mergeCell ref="E53:J53"/>
    <mergeCell ref="E64:J64"/>
    <mergeCell ref="E69:J69"/>
    <mergeCell ref="E61:J61"/>
    <mergeCell ref="C2:G2"/>
    <mergeCell ref="D15:F15"/>
    <mergeCell ref="D14:F14"/>
    <mergeCell ref="D17:F17"/>
    <mergeCell ref="D18:F18"/>
    <mergeCell ref="D20:F20"/>
    <mergeCell ref="C10:J10"/>
    <mergeCell ref="C11:J11"/>
    <mergeCell ref="B4:K4"/>
    <mergeCell ref="I7:K7"/>
    <mergeCell ref="I8:K8"/>
    <mergeCell ref="B6:D6"/>
    <mergeCell ref="B7:D7"/>
    <mergeCell ref="B8:D8"/>
    <mergeCell ref="H32:I32"/>
    <mergeCell ref="H33:I33"/>
    <mergeCell ref="H34:I34"/>
    <mergeCell ref="H35:I35"/>
    <mergeCell ref="H36:I36"/>
    <mergeCell ref="C46:J46"/>
    <mergeCell ref="D42:F42"/>
    <mergeCell ref="D41:F41"/>
    <mergeCell ref="D32:F32"/>
    <mergeCell ref="D33:F33"/>
    <mergeCell ref="D34:F34"/>
    <mergeCell ref="D35:F35"/>
    <mergeCell ref="D36:F36"/>
    <mergeCell ref="H40:I40"/>
    <mergeCell ref="H37:I37"/>
    <mergeCell ref="H39:I39"/>
    <mergeCell ref="H41:I41"/>
    <mergeCell ref="H42:I42"/>
    <mergeCell ref="D23:F23"/>
    <mergeCell ref="H23:I23"/>
    <mergeCell ref="H26:I26"/>
    <mergeCell ref="H25:I25"/>
    <mergeCell ref="H28:I28"/>
    <mergeCell ref="H29:I29"/>
    <mergeCell ref="H30:I30"/>
    <mergeCell ref="H31:I31"/>
    <mergeCell ref="D26:F26"/>
    <mergeCell ref="D27:F27"/>
    <mergeCell ref="D28:F28"/>
    <mergeCell ref="D29:F29"/>
    <mergeCell ref="D30:F30"/>
    <mergeCell ref="D31:F31"/>
    <mergeCell ref="H27:I27"/>
    <mergeCell ref="H24:I24"/>
    <mergeCell ref="D24:F24"/>
    <mergeCell ref="D25:F25"/>
    <mergeCell ref="D116:E116"/>
    <mergeCell ref="F116:I116"/>
    <mergeCell ref="D117:E117"/>
    <mergeCell ref="F117:I117"/>
    <mergeCell ref="D106:E106"/>
    <mergeCell ref="F106:I106"/>
    <mergeCell ref="D107:E107"/>
    <mergeCell ref="F107:I107"/>
    <mergeCell ref="D108:E108"/>
    <mergeCell ref="F108:I108"/>
    <mergeCell ref="D109:E109"/>
    <mergeCell ref="F109:I109"/>
    <mergeCell ref="D110:E110"/>
    <mergeCell ref="F110:I110"/>
    <mergeCell ref="D111:E111"/>
    <mergeCell ref="F111:I111"/>
    <mergeCell ref="D112:E112"/>
    <mergeCell ref="F112:I112"/>
    <mergeCell ref="D113:E113"/>
    <mergeCell ref="F113:I113"/>
    <mergeCell ref="F115:I115"/>
    <mergeCell ref="D125:E125"/>
    <mergeCell ref="F125:I125"/>
    <mergeCell ref="D126:E126"/>
    <mergeCell ref="F126:I126"/>
    <mergeCell ref="D122:I122"/>
    <mergeCell ref="D123:E123"/>
    <mergeCell ref="F123:I123"/>
    <mergeCell ref="D127:E127"/>
    <mergeCell ref="F127:I127"/>
    <mergeCell ref="D141:E141"/>
    <mergeCell ref="F141:I141"/>
    <mergeCell ref="D142:E142"/>
    <mergeCell ref="F142:I142"/>
    <mergeCell ref="D139:E139"/>
    <mergeCell ref="F139:I139"/>
    <mergeCell ref="F136:I136"/>
    <mergeCell ref="D137:E137"/>
    <mergeCell ref="F137:I137"/>
    <mergeCell ref="D138:E138"/>
    <mergeCell ref="F138:I138"/>
    <mergeCell ref="D133:E133"/>
    <mergeCell ref="F133:I133"/>
    <mergeCell ref="D134:E134"/>
    <mergeCell ref="F134:I134"/>
    <mergeCell ref="D135:E135"/>
    <mergeCell ref="F135:I135"/>
    <mergeCell ref="D129:I129"/>
    <mergeCell ref="D130:E130"/>
    <mergeCell ref="F130:I130"/>
    <mergeCell ref="D132:E132"/>
    <mergeCell ref="F132:I132"/>
    <mergeCell ref="D149:E149"/>
    <mergeCell ref="F149:I149"/>
    <mergeCell ref="D148:E148"/>
    <mergeCell ref="F148:I148"/>
    <mergeCell ref="D143:E143"/>
    <mergeCell ref="F143:I143"/>
    <mergeCell ref="D144:E144"/>
    <mergeCell ref="F144:I144"/>
    <mergeCell ref="D145:E145"/>
    <mergeCell ref="F145:I145"/>
    <mergeCell ref="D146:E146"/>
    <mergeCell ref="F146:I146"/>
    <mergeCell ref="D147:E147"/>
    <mergeCell ref="F147:I147"/>
  </mergeCells>
  <hyperlinks>
    <hyperlink ref="B6:D6" location="PLS!A1" display="Capa"/>
    <hyperlink ref="B7:D7" location="INDICE!A1" display="Índice"/>
    <hyperlink ref="B8:D8" location="LIGA!A1" display="Ligações"/>
    <hyperlink ref="C84" location="FTEC!A1" display="Topo"/>
    <hyperlink ref="C152" location="FTEC!A1" display="Topo"/>
    <hyperlink ref="I7:K7" location="FTEC!A46" display="Lista de Siglas e Acrónimos"/>
    <hyperlink ref="I8:K8" location="FTEC!A86" display="Meta Informação"/>
  </hyperlinks>
  <pageMargins left="0.39370078740157483" right="0.19685039370078741" top="0.78740157480314965" bottom="0.39370078740157483" header="0.31496062992125984" footer="0.31496062992125984"/>
  <pageSetup paperSize="9" scale="66" orientation="portrait" r:id="rId1"/>
  <rowBreaks count="2" manualBreakCount="2">
    <brk id="84" max="16383" man="1"/>
    <brk id="120" max="16383" man="1"/>
  </rowBreaks>
</worksheet>
</file>

<file path=xl/worksheets/sheet15.xml><?xml version="1.0" encoding="utf-8"?>
<worksheet xmlns="http://schemas.openxmlformats.org/spreadsheetml/2006/main" xmlns:r="http://schemas.openxmlformats.org/officeDocument/2006/relationships">
  <sheetPr codeName="Folha14"/>
  <dimension ref="A1:DQ466"/>
  <sheetViews>
    <sheetView workbookViewId="0"/>
  </sheetViews>
  <sheetFormatPr defaultRowHeight="12.75"/>
  <cols>
    <col min="1" max="1" width="57.85546875" style="8" customWidth="1"/>
    <col min="2" max="3" width="12.7109375" style="8" customWidth="1"/>
    <col min="4" max="4" width="14.140625" style="8" customWidth="1"/>
    <col min="5" max="5" width="12.7109375" style="8" customWidth="1"/>
    <col min="6" max="6" width="15.85546875" style="8" customWidth="1"/>
    <col min="7" max="7" width="12.7109375" style="8" customWidth="1"/>
    <col min="8" max="8" width="14.42578125" style="8" customWidth="1"/>
    <col min="9" max="9" width="12.42578125" style="8" customWidth="1"/>
    <col min="10" max="10" width="12.85546875" style="8" bestFit="1" customWidth="1"/>
    <col min="11" max="11" width="12.7109375" style="8" bestFit="1" customWidth="1"/>
    <col min="12" max="12" width="11.140625" style="8" customWidth="1"/>
    <col min="13" max="14" width="12.7109375" style="8" bestFit="1" customWidth="1"/>
    <col min="15" max="15" width="11" style="8" customWidth="1"/>
    <col min="16" max="20" width="13.42578125" style="8" bestFit="1" customWidth="1"/>
    <col min="21" max="21" width="9.140625" style="8" customWidth="1"/>
    <col min="22" max="24" width="13.42578125" style="8" bestFit="1" customWidth="1"/>
    <col min="25" max="25" width="12.28515625" style="8" customWidth="1"/>
    <col min="26" max="28" width="13.42578125" style="8" bestFit="1" customWidth="1"/>
    <col min="29" max="40" width="14.42578125" style="8" bestFit="1" customWidth="1"/>
    <col min="41" max="46" width="13.42578125" style="8" bestFit="1" customWidth="1"/>
    <col min="47" max="49" width="12.7109375" style="8" bestFit="1" customWidth="1"/>
    <col min="50" max="67" width="13.85546875" style="8" bestFit="1" customWidth="1"/>
    <col min="68" max="73" width="12.7109375" style="8" bestFit="1" customWidth="1"/>
    <col min="74" max="82" width="13.42578125" style="8" bestFit="1" customWidth="1"/>
    <col min="83" max="84" width="12.7109375" style="8" bestFit="1" customWidth="1"/>
    <col min="85" max="101" width="13.85546875" style="8" bestFit="1" customWidth="1"/>
    <col min="102" max="103" width="12.7109375" style="8" bestFit="1" customWidth="1"/>
    <col min="104" max="115" width="11.5703125" style="8" bestFit="1" customWidth="1"/>
    <col min="116" max="16384" width="9.140625" style="8"/>
  </cols>
  <sheetData>
    <row r="1" spans="1:13" ht="14.25">
      <c r="A1" s="173" t="s">
        <v>526</v>
      </c>
      <c r="B1" s="8" t="str">
        <f>CONCATENATE(A1," - ",A3)</f>
        <v xml:space="preserve">Perfil Local de Saúde 2014 - </v>
      </c>
    </row>
    <row r="2" spans="1:13" ht="15.75">
      <c r="A2" s="409"/>
      <c r="B2" s="410"/>
      <c r="C2" s="8" t="str">
        <f>RIGHT(B2,1)</f>
        <v/>
      </c>
      <c r="D2" s="8" t="s">
        <v>282</v>
      </c>
      <c r="E2" s="8" t="str">
        <f>UPPER(A2)</f>
        <v/>
      </c>
      <c r="F2" s="8" t="str">
        <f>CONCATENATE(D2," ",E2)</f>
        <v xml:space="preserve">NA </v>
      </c>
      <c r="G2" s="8">
        <f>IF(OR(B2=11,B2=15),1,2)</f>
        <v>2</v>
      </c>
      <c r="H2" s="8" t="s">
        <v>549</v>
      </c>
      <c r="I2" s="8" t="str">
        <f>CONCATENATE(H2," ",E2)</f>
        <v xml:space="preserve">DA </v>
      </c>
    </row>
    <row r="3" spans="1:13">
      <c r="B3" s="13"/>
      <c r="C3" s="8" t="str">
        <f>IF(OR(B3=122,B3=123,B3=124,B3=209,B3=402,B3=403,B3=404),"NA","NO")</f>
        <v>NO</v>
      </c>
      <c r="D3" s="8" t="str">
        <f>UPPER(A3)</f>
        <v/>
      </c>
      <c r="E3" s="8" t="str">
        <f>CONCATENATE(C3," ",D3)</f>
        <v xml:space="preserve">NO </v>
      </c>
      <c r="F3" s="8" t="str">
        <f>CONCATENATE(UPPER(C4)," ",D3)</f>
        <v xml:space="preserve">DO </v>
      </c>
      <c r="G3" s="175"/>
      <c r="H3" s="8" t="e">
        <f>"Este Perfil Local de Saúde proporciona-lhe um olhar rápido mas integrador, sobre a saúde da população da área geográfica de influência " &amp; C4 &amp; D4 &amp; E4 &amp; ". Conjuntamente com outra informação adicional relevante, a obter ou já existente, este Perfil Local de Saúde foi construído para apoiar a tomada decisão e a intervenção, tendo em vista a melhoria da saúde ao nível " &amp; F4 &amp; " " &amp; G4 &amp; "."</f>
        <v>#VALUE!</v>
      </c>
    </row>
    <row r="4" spans="1:13">
      <c r="C4" s="8" t="str">
        <f>IF(OR(B3=122,B3=123,B3=124,B3=209,B3=402,B3=403,B3=404),"da","do")</f>
        <v>do</v>
      </c>
      <c r="D4" s="17" t="str">
        <f>IF(C4="da"," Unidade Local de Saúde (ULS) "," Agrupamento de Centros de Saúde (ACeS) ")</f>
        <v xml:space="preserve"> Agrupamento de Centros de Saúde (ACeS) </v>
      </c>
      <c r="E4" s="8" t="e">
        <f>IF(C4="da",RIGHT(A3,LEN(A3)-4),RIGHT(A3,LEN(A3)-5))</f>
        <v>#VALUE!</v>
      </c>
      <c r="F4" s="8" t="str">
        <f>IF(C4="da","desta","deste")</f>
        <v>deste</v>
      </c>
      <c r="G4" s="8" t="str">
        <f>IF(C4="da","ULS","ACeS")</f>
        <v>ACeS</v>
      </c>
    </row>
    <row r="5" spans="1:13">
      <c r="A5" s="226" t="str">
        <f>INDICE!C11</f>
        <v>QUEM SOMOS?</v>
      </c>
      <c r="B5" s="261"/>
      <c r="C5" s="261"/>
      <c r="D5" s="261"/>
    </row>
    <row r="6" spans="1:13">
      <c r="B6" s="261"/>
      <c r="C6" s="261" t="str">
        <f>CONCATENATE(C3," ",UPPER(C5))</f>
        <v xml:space="preserve">NO </v>
      </c>
      <c r="D6" s="261" t="str">
        <f>CONCATENATE(C3," ",UPPER(D5))</f>
        <v xml:space="preserve">NO </v>
      </c>
    </row>
    <row r="7" spans="1:13">
      <c r="A7" s="69" t="s">
        <v>283</v>
      </c>
    </row>
    <row r="8" spans="1:13">
      <c r="A8" s="8" t="s">
        <v>8</v>
      </c>
      <c r="B8" s="8" t="s">
        <v>154</v>
      </c>
      <c r="C8" s="8" t="s">
        <v>156</v>
      </c>
      <c r="D8" s="8" t="s">
        <v>155</v>
      </c>
      <c r="E8" s="8" t="s">
        <v>157</v>
      </c>
      <c r="F8" s="8" t="s">
        <v>158</v>
      </c>
      <c r="G8" s="8" t="s">
        <v>159</v>
      </c>
      <c r="H8" s="8" t="s">
        <v>160</v>
      </c>
      <c r="I8" s="8" t="s">
        <v>162</v>
      </c>
      <c r="J8" s="8" t="s">
        <v>163</v>
      </c>
      <c r="K8" s="8" t="s">
        <v>161</v>
      </c>
      <c r="L8" s="8" t="s">
        <v>165</v>
      </c>
      <c r="M8" s="8" t="s">
        <v>164</v>
      </c>
    </row>
    <row r="9" spans="1:13">
      <c r="A9" s="8" t="s">
        <v>16</v>
      </c>
      <c r="B9" s="8">
        <v>9976649</v>
      </c>
      <c r="C9" s="8">
        <v>4750790</v>
      </c>
      <c r="D9" s="8">
        <v>5225859</v>
      </c>
      <c r="E9" s="8">
        <v>1464380</v>
      </c>
      <c r="F9" s="8">
        <v>749729</v>
      </c>
      <c r="G9" s="8">
        <v>714651</v>
      </c>
      <c r="H9" s="8">
        <v>6550263</v>
      </c>
      <c r="I9" s="8">
        <v>3186183</v>
      </c>
      <c r="J9" s="8">
        <v>3364080</v>
      </c>
      <c r="K9" s="8">
        <v>1962006</v>
      </c>
      <c r="L9" s="8">
        <v>814878</v>
      </c>
      <c r="M9" s="8">
        <v>1147128</v>
      </c>
    </row>
    <row r="10" spans="1:13">
      <c r="A10" s="8">
        <f>A2</f>
        <v>0</v>
      </c>
      <c r="B10" s="410"/>
      <c r="C10" s="410"/>
      <c r="D10" s="410"/>
      <c r="E10" s="410"/>
      <c r="F10" s="410"/>
      <c r="G10" s="410"/>
      <c r="H10" s="410"/>
      <c r="I10" s="410"/>
      <c r="J10" s="410"/>
      <c r="K10" s="410"/>
      <c r="L10" s="410"/>
      <c r="M10" s="410"/>
    </row>
    <row r="11" spans="1:13">
      <c r="A11" s="8">
        <f>A3</f>
        <v>0</v>
      </c>
      <c r="B11" s="13"/>
      <c r="C11" s="13"/>
      <c r="D11" s="13"/>
      <c r="E11" s="13"/>
      <c r="F11" s="13"/>
      <c r="G11" s="13"/>
      <c r="H11" s="13"/>
      <c r="I11" s="13"/>
      <c r="J11" s="13"/>
      <c r="K11" s="13"/>
      <c r="L11" s="13"/>
      <c r="M11" s="13"/>
    </row>
    <row r="13" spans="1:13">
      <c r="A13" s="69" t="s">
        <v>167</v>
      </c>
    </row>
    <row r="14" spans="1:13">
      <c r="A14" s="8" t="s">
        <v>8</v>
      </c>
      <c r="B14" s="8">
        <v>1991</v>
      </c>
      <c r="C14" s="8">
        <v>2001</v>
      </c>
      <c r="D14" s="8">
        <v>2011</v>
      </c>
      <c r="E14" s="70"/>
      <c r="F14" s="70"/>
      <c r="G14" s="70"/>
      <c r="H14" s="70"/>
      <c r="I14" s="70"/>
      <c r="J14" s="70"/>
      <c r="K14" s="70"/>
      <c r="L14" s="70"/>
      <c r="M14" s="70"/>
    </row>
    <row r="15" spans="1:13">
      <c r="A15" s="8" t="s">
        <v>16</v>
      </c>
      <c r="B15" s="8">
        <v>9375926</v>
      </c>
      <c r="C15" s="8">
        <v>9869343</v>
      </c>
      <c r="D15" s="8">
        <v>10047621</v>
      </c>
      <c r="E15" s="70"/>
      <c r="F15" s="70"/>
      <c r="G15" s="70"/>
      <c r="H15" s="70"/>
      <c r="I15" s="70"/>
      <c r="J15" s="70"/>
      <c r="K15" s="70"/>
      <c r="L15" s="70"/>
      <c r="M15" s="70"/>
    </row>
    <row r="16" spans="1:13">
      <c r="A16" s="8">
        <f>A2</f>
        <v>0</v>
      </c>
      <c r="B16" s="410"/>
      <c r="C16" s="410"/>
      <c r="D16" s="410"/>
      <c r="E16" s="70"/>
      <c r="F16" s="70"/>
      <c r="G16" s="70"/>
      <c r="H16" s="70"/>
      <c r="I16" s="70"/>
      <c r="J16" s="70"/>
      <c r="K16" s="70"/>
      <c r="L16" s="70"/>
      <c r="M16" s="70"/>
    </row>
    <row r="17" spans="1:17">
      <c r="A17" s="8">
        <f>A3</f>
        <v>0</v>
      </c>
      <c r="B17" s="13"/>
      <c r="C17" s="13"/>
      <c r="D17" s="13"/>
      <c r="E17" s="70"/>
      <c r="F17" s="70"/>
      <c r="G17" s="70"/>
      <c r="H17" s="70"/>
      <c r="I17" s="70"/>
      <c r="J17" s="70"/>
      <c r="K17" s="70"/>
      <c r="L17" s="70"/>
      <c r="M17" s="70"/>
    </row>
    <row r="19" spans="1:17">
      <c r="A19" s="69" t="s">
        <v>126</v>
      </c>
    </row>
    <row r="20" spans="1:17">
      <c r="B20" s="943">
        <f>A3</f>
        <v>0</v>
      </c>
      <c r="C20" s="943"/>
      <c r="D20" s="943"/>
      <c r="E20" s="943"/>
      <c r="F20" s="943">
        <f>A2</f>
        <v>0</v>
      </c>
      <c r="G20" s="943"/>
      <c r="H20" s="942">
        <f>A3</f>
        <v>0</v>
      </c>
      <c r="I20" s="942"/>
      <c r="J20" s="942"/>
      <c r="K20" s="942"/>
      <c r="L20" s="942">
        <f>A2</f>
        <v>0</v>
      </c>
      <c r="M20" s="942"/>
      <c r="N20" s="942">
        <f>H20</f>
        <v>0</v>
      </c>
      <c r="O20" s="942"/>
      <c r="P20" s="942">
        <f>L20</f>
        <v>0</v>
      </c>
      <c r="Q20" s="942"/>
    </row>
    <row r="21" spans="1:17">
      <c r="B21" s="943">
        <v>1991</v>
      </c>
      <c r="C21" s="943"/>
      <c r="D21" s="943">
        <v>2012</v>
      </c>
      <c r="E21" s="943"/>
      <c r="F21" s="943">
        <v>2012</v>
      </c>
      <c r="G21" s="943"/>
      <c r="H21" s="942">
        <v>1991</v>
      </c>
      <c r="I21" s="942"/>
      <c r="J21" s="942">
        <v>2012</v>
      </c>
      <c r="K21" s="942"/>
      <c r="L21" s="942">
        <v>2012</v>
      </c>
      <c r="M21" s="942"/>
      <c r="N21" s="12"/>
      <c r="O21" s="12"/>
      <c r="P21" s="12"/>
      <c r="Q21" s="12"/>
    </row>
    <row r="22" spans="1:17">
      <c r="B22" s="17" t="s">
        <v>146</v>
      </c>
      <c r="C22" s="17" t="s">
        <v>147</v>
      </c>
      <c r="D22" s="17" t="s">
        <v>62</v>
      </c>
      <c r="E22" s="17" t="s">
        <v>63</v>
      </c>
      <c r="F22" s="17" t="s">
        <v>62</v>
      </c>
      <c r="G22" s="17" t="s">
        <v>63</v>
      </c>
      <c r="H22" s="71" t="str">
        <f>CONCATENATE("Homens (",H21,")")</f>
        <v>Homens (1991)</v>
      </c>
      <c r="I22" s="71" t="str">
        <f>CONCATENATE("Mulheres (",H21,")")</f>
        <v>Mulheres (1991)</v>
      </c>
      <c r="J22" s="71" t="str">
        <f>CONCATENATE("Homens (",J21,")")</f>
        <v>Homens (2012)</v>
      </c>
      <c r="K22" s="71" t="str">
        <f>CONCATENATE("Mulheres (",J21,")")</f>
        <v>Mulheres (2012)</v>
      </c>
      <c r="L22" s="71" t="s">
        <v>62</v>
      </c>
      <c r="M22" s="71" t="s">
        <v>63</v>
      </c>
      <c r="N22" s="71" t="str">
        <f>CONCATENATE("Homens (",N20,")")</f>
        <v>Homens (0)</v>
      </c>
      <c r="O22" s="71" t="str">
        <f>CONCATENATE("Mulheres (",N20,")")</f>
        <v>Mulheres (0)</v>
      </c>
      <c r="P22" s="71" t="str">
        <f>CONCATENATE("Homens (",P20,")")</f>
        <v>Homens (0)</v>
      </c>
      <c r="Q22" s="71" t="str">
        <f>CONCATENATE("Mulheres (",P20,")")</f>
        <v>Mulheres (0)</v>
      </c>
    </row>
    <row r="23" spans="1:17">
      <c r="A23" s="8" t="s">
        <v>148</v>
      </c>
      <c r="B23" s="13"/>
      <c r="C23" s="13"/>
      <c r="D23" s="13"/>
      <c r="E23" s="13"/>
      <c r="F23" s="410"/>
      <c r="G23" s="410"/>
      <c r="H23" s="12">
        <f>B23*-1</f>
        <v>0</v>
      </c>
      <c r="I23" s="12">
        <f>C23</f>
        <v>0</v>
      </c>
      <c r="J23" s="12">
        <f>D23*-1</f>
        <v>0</v>
      </c>
      <c r="K23" s="12">
        <f>E23</f>
        <v>0</v>
      </c>
      <c r="L23" s="12">
        <f>F23*-1</f>
        <v>0</v>
      </c>
      <c r="M23" s="12">
        <f>G23</f>
        <v>0</v>
      </c>
      <c r="N23" s="14" t="e">
        <f>J23/$J$41*-100</f>
        <v>#DIV/0!</v>
      </c>
      <c r="O23" s="14" t="e">
        <f>K23/$K$41*100</f>
        <v>#DIV/0!</v>
      </c>
      <c r="P23" s="12" t="e">
        <f>L23/$L$41*-100</f>
        <v>#DIV/0!</v>
      </c>
      <c r="Q23" s="12" t="e">
        <f>M23/$M$41*100</f>
        <v>#DIV/0!</v>
      </c>
    </row>
    <row r="24" spans="1:17">
      <c r="A24" s="18" t="s">
        <v>150</v>
      </c>
      <c r="B24" s="13"/>
      <c r="C24" s="13"/>
      <c r="D24" s="13"/>
      <c r="E24" s="13"/>
      <c r="F24" s="410"/>
      <c r="G24" s="410"/>
      <c r="H24" s="12">
        <f t="shared" ref="H24:H41" si="0">B24*-1</f>
        <v>0</v>
      </c>
      <c r="I24" s="12">
        <f t="shared" ref="I24:I41" si="1">C24</f>
        <v>0</v>
      </c>
      <c r="J24" s="12">
        <f t="shared" ref="J24:J41" si="2">D24*-1</f>
        <v>0</v>
      </c>
      <c r="K24" s="12">
        <f t="shared" ref="K24:K41" si="3">E24</f>
        <v>0</v>
      </c>
      <c r="L24" s="12">
        <f t="shared" ref="L24:L41" si="4">F24*-1</f>
        <v>0</v>
      </c>
      <c r="M24" s="12">
        <f t="shared" ref="M24:M41" si="5">G24</f>
        <v>0</v>
      </c>
      <c r="N24" s="14" t="e">
        <f>J24/$J$41*-100</f>
        <v>#DIV/0!</v>
      </c>
      <c r="O24" s="14" t="e">
        <f>K24/$K$41*100</f>
        <v>#DIV/0!</v>
      </c>
      <c r="P24" s="12" t="e">
        <f t="shared" ref="P24:P41" si="6">L24/$L$41*-100</f>
        <v>#DIV/0!</v>
      </c>
      <c r="Q24" s="12" t="e">
        <f t="shared" ref="Q24:Q41" si="7">M24/$M$41*100</f>
        <v>#DIV/0!</v>
      </c>
    </row>
    <row r="25" spans="1:17">
      <c r="A25" s="18" t="s">
        <v>149</v>
      </c>
      <c r="B25" s="13"/>
      <c r="C25" s="13"/>
      <c r="D25" s="13"/>
      <c r="E25" s="13"/>
      <c r="F25" s="410"/>
      <c r="G25" s="410"/>
      <c r="H25" s="12">
        <f t="shared" si="0"/>
        <v>0</v>
      </c>
      <c r="I25" s="12">
        <f t="shared" si="1"/>
        <v>0</v>
      </c>
      <c r="J25" s="12">
        <f t="shared" si="2"/>
        <v>0</v>
      </c>
      <c r="K25" s="12">
        <f t="shared" si="3"/>
        <v>0</v>
      </c>
      <c r="L25" s="12">
        <f t="shared" si="4"/>
        <v>0</v>
      </c>
      <c r="M25" s="12">
        <f t="shared" si="5"/>
        <v>0</v>
      </c>
      <c r="N25" s="14" t="e">
        <f>J25/$J$41*-100</f>
        <v>#DIV/0!</v>
      </c>
      <c r="O25" s="14" t="e">
        <f>K25/$K$41*100</f>
        <v>#DIV/0!</v>
      </c>
      <c r="P25" s="12" t="e">
        <f t="shared" si="6"/>
        <v>#DIV/0!</v>
      </c>
      <c r="Q25" s="12" t="e">
        <f t="shared" si="7"/>
        <v>#DIV/0!</v>
      </c>
    </row>
    <row r="26" spans="1:17">
      <c r="A26" s="8" t="s">
        <v>131</v>
      </c>
      <c r="B26" s="13"/>
      <c r="C26" s="13"/>
      <c r="D26" s="13"/>
      <c r="E26" s="13"/>
      <c r="F26" s="410"/>
      <c r="G26" s="410"/>
      <c r="H26" s="12">
        <f t="shared" si="0"/>
        <v>0</v>
      </c>
      <c r="I26" s="12">
        <f t="shared" si="1"/>
        <v>0</v>
      </c>
      <c r="J26" s="12">
        <f t="shared" si="2"/>
        <v>0</v>
      </c>
      <c r="K26" s="12">
        <f t="shared" si="3"/>
        <v>0</v>
      </c>
      <c r="L26" s="12">
        <f t="shared" si="4"/>
        <v>0</v>
      </c>
      <c r="M26" s="12">
        <f t="shared" si="5"/>
        <v>0</v>
      </c>
      <c r="N26" s="14" t="e">
        <f t="shared" ref="N26:N41" si="8">J26/$J$41*-100</f>
        <v>#DIV/0!</v>
      </c>
      <c r="O26" s="14" t="e">
        <f>K26/$K$41*100</f>
        <v>#DIV/0!</v>
      </c>
      <c r="P26" s="12" t="e">
        <f t="shared" si="6"/>
        <v>#DIV/0!</v>
      </c>
      <c r="Q26" s="12" t="e">
        <f t="shared" si="7"/>
        <v>#DIV/0!</v>
      </c>
    </row>
    <row r="27" spans="1:17">
      <c r="A27" s="8" t="s">
        <v>132</v>
      </c>
      <c r="B27" s="13"/>
      <c r="C27" s="13"/>
      <c r="D27" s="13"/>
      <c r="E27" s="13"/>
      <c r="F27" s="410"/>
      <c r="G27" s="410"/>
      <c r="H27" s="12">
        <f t="shared" si="0"/>
        <v>0</v>
      </c>
      <c r="I27" s="12">
        <f t="shared" si="1"/>
        <v>0</v>
      </c>
      <c r="J27" s="12">
        <f t="shared" si="2"/>
        <v>0</v>
      </c>
      <c r="K27" s="12">
        <f t="shared" si="3"/>
        <v>0</v>
      </c>
      <c r="L27" s="12">
        <f t="shared" si="4"/>
        <v>0</v>
      </c>
      <c r="M27" s="12">
        <f t="shared" si="5"/>
        <v>0</v>
      </c>
      <c r="N27" s="14" t="e">
        <f t="shared" si="8"/>
        <v>#DIV/0!</v>
      </c>
      <c r="O27" s="14" t="e">
        <f t="shared" ref="O27:O41" si="9">K27/$K$41*100</f>
        <v>#DIV/0!</v>
      </c>
      <c r="P27" s="12" t="e">
        <f t="shared" si="6"/>
        <v>#DIV/0!</v>
      </c>
      <c r="Q27" s="12" t="e">
        <f t="shared" si="7"/>
        <v>#DIV/0!</v>
      </c>
    </row>
    <row r="28" spans="1:17">
      <c r="A28" s="8" t="s">
        <v>133</v>
      </c>
      <c r="B28" s="13"/>
      <c r="C28" s="13"/>
      <c r="D28" s="13"/>
      <c r="E28" s="13"/>
      <c r="F28" s="410"/>
      <c r="G28" s="410"/>
      <c r="H28" s="12">
        <f t="shared" si="0"/>
        <v>0</v>
      </c>
      <c r="I28" s="12">
        <f t="shared" si="1"/>
        <v>0</v>
      </c>
      <c r="J28" s="12">
        <f t="shared" si="2"/>
        <v>0</v>
      </c>
      <c r="K28" s="12">
        <f t="shared" si="3"/>
        <v>0</v>
      </c>
      <c r="L28" s="12">
        <f t="shared" si="4"/>
        <v>0</v>
      </c>
      <c r="M28" s="12">
        <f t="shared" si="5"/>
        <v>0</v>
      </c>
      <c r="N28" s="14" t="e">
        <f t="shared" si="8"/>
        <v>#DIV/0!</v>
      </c>
      <c r="O28" s="14" t="e">
        <f t="shared" si="9"/>
        <v>#DIV/0!</v>
      </c>
      <c r="P28" s="12" t="e">
        <f t="shared" si="6"/>
        <v>#DIV/0!</v>
      </c>
      <c r="Q28" s="12" t="e">
        <f t="shared" si="7"/>
        <v>#DIV/0!</v>
      </c>
    </row>
    <row r="29" spans="1:17">
      <c r="A29" s="8" t="s">
        <v>134</v>
      </c>
      <c r="B29" s="13"/>
      <c r="C29" s="13"/>
      <c r="D29" s="13"/>
      <c r="E29" s="13"/>
      <c r="F29" s="410"/>
      <c r="G29" s="410"/>
      <c r="H29" s="12">
        <f t="shared" si="0"/>
        <v>0</v>
      </c>
      <c r="I29" s="12">
        <f t="shared" si="1"/>
        <v>0</v>
      </c>
      <c r="J29" s="12">
        <f t="shared" si="2"/>
        <v>0</v>
      </c>
      <c r="K29" s="12">
        <f t="shared" si="3"/>
        <v>0</v>
      </c>
      <c r="L29" s="12">
        <f t="shared" si="4"/>
        <v>0</v>
      </c>
      <c r="M29" s="12">
        <f t="shared" si="5"/>
        <v>0</v>
      </c>
      <c r="N29" s="14" t="e">
        <f t="shared" si="8"/>
        <v>#DIV/0!</v>
      </c>
      <c r="O29" s="14" t="e">
        <f t="shared" si="9"/>
        <v>#DIV/0!</v>
      </c>
      <c r="P29" s="12" t="e">
        <f t="shared" si="6"/>
        <v>#DIV/0!</v>
      </c>
      <c r="Q29" s="12" t="e">
        <f t="shared" si="7"/>
        <v>#DIV/0!</v>
      </c>
    </row>
    <row r="30" spans="1:17">
      <c r="A30" s="8" t="s">
        <v>135</v>
      </c>
      <c r="B30" s="13"/>
      <c r="C30" s="13"/>
      <c r="D30" s="13"/>
      <c r="E30" s="13"/>
      <c r="F30" s="410"/>
      <c r="G30" s="410"/>
      <c r="H30" s="12">
        <f t="shared" si="0"/>
        <v>0</v>
      </c>
      <c r="I30" s="12">
        <f t="shared" si="1"/>
        <v>0</v>
      </c>
      <c r="J30" s="12">
        <f t="shared" si="2"/>
        <v>0</v>
      </c>
      <c r="K30" s="12">
        <f t="shared" si="3"/>
        <v>0</v>
      </c>
      <c r="L30" s="12">
        <f t="shared" si="4"/>
        <v>0</v>
      </c>
      <c r="M30" s="12">
        <f t="shared" si="5"/>
        <v>0</v>
      </c>
      <c r="N30" s="14" t="e">
        <f t="shared" si="8"/>
        <v>#DIV/0!</v>
      </c>
      <c r="O30" s="14" t="e">
        <f t="shared" si="9"/>
        <v>#DIV/0!</v>
      </c>
      <c r="P30" s="12" t="e">
        <f t="shared" si="6"/>
        <v>#DIV/0!</v>
      </c>
      <c r="Q30" s="12" t="e">
        <f t="shared" si="7"/>
        <v>#DIV/0!</v>
      </c>
    </row>
    <row r="31" spans="1:17">
      <c r="A31" s="8" t="s">
        <v>136</v>
      </c>
      <c r="B31" s="13"/>
      <c r="C31" s="13"/>
      <c r="D31" s="13"/>
      <c r="E31" s="13"/>
      <c r="F31" s="410"/>
      <c r="G31" s="410"/>
      <c r="H31" s="12">
        <f t="shared" si="0"/>
        <v>0</v>
      </c>
      <c r="I31" s="12">
        <f t="shared" si="1"/>
        <v>0</v>
      </c>
      <c r="J31" s="12">
        <f t="shared" si="2"/>
        <v>0</v>
      </c>
      <c r="K31" s="12">
        <f t="shared" si="3"/>
        <v>0</v>
      </c>
      <c r="L31" s="12">
        <f t="shared" si="4"/>
        <v>0</v>
      </c>
      <c r="M31" s="12">
        <f t="shared" si="5"/>
        <v>0</v>
      </c>
      <c r="N31" s="14" t="e">
        <f t="shared" si="8"/>
        <v>#DIV/0!</v>
      </c>
      <c r="O31" s="14" t="e">
        <f t="shared" si="9"/>
        <v>#DIV/0!</v>
      </c>
      <c r="P31" s="12" t="e">
        <f t="shared" si="6"/>
        <v>#DIV/0!</v>
      </c>
      <c r="Q31" s="12" t="e">
        <f t="shared" si="7"/>
        <v>#DIV/0!</v>
      </c>
    </row>
    <row r="32" spans="1:17">
      <c r="A32" s="8" t="s">
        <v>137</v>
      </c>
      <c r="B32" s="13"/>
      <c r="C32" s="13"/>
      <c r="D32" s="13"/>
      <c r="E32" s="13"/>
      <c r="F32" s="410"/>
      <c r="G32" s="410"/>
      <c r="H32" s="12">
        <f t="shared" si="0"/>
        <v>0</v>
      </c>
      <c r="I32" s="12">
        <f t="shared" si="1"/>
        <v>0</v>
      </c>
      <c r="J32" s="12">
        <f t="shared" si="2"/>
        <v>0</v>
      </c>
      <c r="K32" s="12">
        <f t="shared" si="3"/>
        <v>0</v>
      </c>
      <c r="L32" s="12">
        <f t="shared" si="4"/>
        <v>0</v>
      </c>
      <c r="M32" s="12">
        <f t="shared" si="5"/>
        <v>0</v>
      </c>
      <c r="N32" s="14" t="e">
        <f t="shared" si="8"/>
        <v>#DIV/0!</v>
      </c>
      <c r="O32" s="14" t="e">
        <f t="shared" si="9"/>
        <v>#DIV/0!</v>
      </c>
      <c r="P32" s="12" t="e">
        <f t="shared" si="6"/>
        <v>#DIV/0!</v>
      </c>
      <c r="Q32" s="12" t="e">
        <f t="shared" si="7"/>
        <v>#DIV/0!</v>
      </c>
    </row>
    <row r="33" spans="1:23">
      <c r="A33" s="8" t="s">
        <v>138</v>
      </c>
      <c r="B33" s="13"/>
      <c r="C33" s="13"/>
      <c r="D33" s="13"/>
      <c r="E33" s="13"/>
      <c r="F33" s="410"/>
      <c r="G33" s="410"/>
      <c r="H33" s="12">
        <f t="shared" si="0"/>
        <v>0</v>
      </c>
      <c r="I33" s="12">
        <f t="shared" si="1"/>
        <v>0</v>
      </c>
      <c r="J33" s="12">
        <f t="shared" si="2"/>
        <v>0</v>
      </c>
      <c r="K33" s="12">
        <f t="shared" si="3"/>
        <v>0</v>
      </c>
      <c r="L33" s="12">
        <f t="shared" si="4"/>
        <v>0</v>
      </c>
      <c r="M33" s="12">
        <f t="shared" si="5"/>
        <v>0</v>
      </c>
      <c r="N33" s="14" t="e">
        <f t="shared" si="8"/>
        <v>#DIV/0!</v>
      </c>
      <c r="O33" s="14" t="e">
        <f t="shared" si="9"/>
        <v>#DIV/0!</v>
      </c>
      <c r="P33" s="12" t="e">
        <f t="shared" si="6"/>
        <v>#DIV/0!</v>
      </c>
      <c r="Q33" s="12" t="e">
        <f t="shared" si="7"/>
        <v>#DIV/0!</v>
      </c>
    </row>
    <row r="34" spans="1:23">
      <c r="A34" s="8" t="s">
        <v>139</v>
      </c>
      <c r="B34" s="13"/>
      <c r="C34" s="13"/>
      <c r="D34" s="13"/>
      <c r="E34" s="13"/>
      <c r="F34" s="410"/>
      <c r="G34" s="410"/>
      <c r="H34" s="12">
        <f t="shared" si="0"/>
        <v>0</v>
      </c>
      <c r="I34" s="12">
        <f t="shared" si="1"/>
        <v>0</v>
      </c>
      <c r="J34" s="12">
        <f t="shared" si="2"/>
        <v>0</v>
      </c>
      <c r="K34" s="12">
        <f t="shared" si="3"/>
        <v>0</v>
      </c>
      <c r="L34" s="12">
        <f t="shared" si="4"/>
        <v>0</v>
      </c>
      <c r="M34" s="12">
        <f t="shared" si="5"/>
        <v>0</v>
      </c>
      <c r="N34" s="14" t="e">
        <f t="shared" si="8"/>
        <v>#DIV/0!</v>
      </c>
      <c r="O34" s="14" t="e">
        <f t="shared" si="9"/>
        <v>#DIV/0!</v>
      </c>
      <c r="P34" s="12" t="e">
        <f t="shared" si="6"/>
        <v>#DIV/0!</v>
      </c>
      <c r="Q34" s="12" t="e">
        <f t="shared" si="7"/>
        <v>#DIV/0!</v>
      </c>
    </row>
    <row r="35" spans="1:23">
      <c r="A35" s="8" t="s">
        <v>140</v>
      </c>
      <c r="B35" s="13"/>
      <c r="C35" s="13"/>
      <c r="D35" s="13"/>
      <c r="E35" s="13"/>
      <c r="F35" s="410"/>
      <c r="G35" s="410"/>
      <c r="H35" s="12">
        <f t="shared" si="0"/>
        <v>0</v>
      </c>
      <c r="I35" s="12">
        <f t="shared" si="1"/>
        <v>0</v>
      </c>
      <c r="J35" s="12">
        <f t="shared" si="2"/>
        <v>0</v>
      </c>
      <c r="K35" s="12">
        <f t="shared" si="3"/>
        <v>0</v>
      </c>
      <c r="L35" s="12">
        <f t="shared" si="4"/>
        <v>0</v>
      </c>
      <c r="M35" s="12">
        <f t="shared" si="5"/>
        <v>0</v>
      </c>
      <c r="N35" s="14" t="e">
        <f t="shared" si="8"/>
        <v>#DIV/0!</v>
      </c>
      <c r="O35" s="14" t="e">
        <f t="shared" si="9"/>
        <v>#DIV/0!</v>
      </c>
      <c r="P35" s="12" t="e">
        <f t="shared" si="6"/>
        <v>#DIV/0!</v>
      </c>
      <c r="Q35" s="12" t="e">
        <f t="shared" si="7"/>
        <v>#DIV/0!</v>
      </c>
    </row>
    <row r="36" spans="1:23">
      <c r="A36" s="8" t="s">
        <v>141</v>
      </c>
      <c r="B36" s="13"/>
      <c r="C36" s="13"/>
      <c r="D36" s="13"/>
      <c r="E36" s="13"/>
      <c r="F36" s="410"/>
      <c r="G36" s="410"/>
      <c r="H36" s="12">
        <f t="shared" si="0"/>
        <v>0</v>
      </c>
      <c r="I36" s="12">
        <f t="shared" si="1"/>
        <v>0</v>
      </c>
      <c r="J36" s="12">
        <f t="shared" si="2"/>
        <v>0</v>
      </c>
      <c r="K36" s="12">
        <f t="shared" si="3"/>
        <v>0</v>
      </c>
      <c r="L36" s="12">
        <f t="shared" si="4"/>
        <v>0</v>
      </c>
      <c r="M36" s="12">
        <f t="shared" si="5"/>
        <v>0</v>
      </c>
      <c r="N36" s="14" t="e">
        <f t="shared" si="8"/>
        <v>#DIV/0!</v>
      </c>
      <c r="O36" s="14" t="e">
        <f t="shared" si="9"/>
        <v>#DIV/0!</v>
      </c>
      <c r="P36" s="12" t="e">
        <f t="shared" si="6"/>
        <v>#DIV/0!</v>
      </c>
      <c r="Q36" s="12" t="e">
        <f t="shared" si="7"/>
        <v>#DIV/0!</v>
      </c>
    </row>
    <row r="37" spans="1:23">
      <c r="A37" s="8" t="s">
        <v>142</v>
      </c>
      <c r="B37" s="13"/>
      <c r="C37" s="13"/>
      <c r="D37" s="13"/>
      <c r="E37" s="13"/>
      <c r="F37" s="410"/>
      <c r="G37" s="410"/>
      <c r="H37" s="12">
        <f t="shared" si="0"/>
        <v>0</v>
      </c>
      <c r="I37" s="12">
        <f t="shared" si="1"/>
        <v>0</v>
      </c>
      <c r="J37" s="12">
        <f t="shared" si="2"/>
        <v>0</v>
      </c>
      <c r="K37" s="12">
        <f t="shared" si="3"/>
        <v>0</v>
      </c>
      <c r="L37" s="12">
        <f t="shared" si="4"/>
        <v>0</v>
      </c>
      <c r="M37" s="12">
        <f t="shared" si="5"/>
        <v>0</v>
      </c>
      <c r="N37" s="14" t="e">
        <f t="shared" si="8"/>
        <v>#DIV/0!</v>
      </c>
      <c r="O37" s="14" t="e">
        <f t="shared" si="9"/>
        <v>#DIV/0!</v>
      </c>
      <c r="P37" s="12" t="e">
        <f t="shared" si="6"/>
        <v>#DIV/0!</v>
      </c>
      <c r="Q37" s="12" t="e">
        <f t="shared" si="7"/>
        <v>#DIV/0!</v>
      </c>
    </row>
    <row r="38" spans="1:23">
      <c r="A38" s="8" t="s">
        <v>143</v>
      </c>
      <c r="B38" s="13"/>
      <c r="C38" s="13"/>
      <c r="D38" s="13"/>
      <c r="E38" s="13"/>
      <c r="F38" s="410"/>
      <c r="G38" s="410"/>
      <c r="H38" s="12">
        <f t="shared" si="0"/>
        <v>0</v>
      </c>
      <c r="I38" s="12">
        <f t="shared" si="1"/>
        <v>0</v>
      </c>
      <c r="J38" s="12">
        <f t="shared" si="2"/>
        <v>0</v>
      </c>
      <c r="K38" s="12">
        <f t="shared" si="3"/>
        <v>0</v>
      </c>
      <c r="L38" s="12">
        <f t="shared" si="4"/>
        <v>0</v>
      </c>
      <c r="M38" s="12">
        <f t="shared" si="5"/>
        <v>0</v>
      </c>
      <c r="N38" s="14" t="e">
        <f t="shared" si="8"/>
        <v>#DIV/0!</v>
      </c>
      <c r="O38" s="14" t="e">
        <f t="shared" si="9"/>
        <v>#DIV/0!</v>
      </c>
      <c r="P38" s="12" t="e">
        <f t="shared" si="6"/>
        <v>#DIV/0!</v>
      </c>
      <c r="Q38" s="12" t="e">
        <f t="shared" si="7"/>
        <v>#DIV/0!</v>
      </c>
    </row>
    <row r="39" spans="1:23">
      <c r="A39" s="8" t="s">
        <v>144</v>
      </c>
      <c r="B39" s="13"/>
      <c r="C39" s="13"/>
      <c r="D39" s="13"/>
      <c r="E39" s="13"/>
      <c r="F39" s="410"/>
      <c r="G39" s="410"/>
      <c r="H39" s="12">
        <f t="shared" si="0"/>
        <v>0</v>
      </c>
      <c r="I39" s="12">
        <f t="shared" si="1"/>
        <v>0</v>
      </c>
      <c r="J39" s="12">
        <f t="shared" si="2"/>
        <v>0</v>
      </c>
      <c r="K39" s="12">
        <f t="shared" si="3"/>
        <v>0</v>
      </c>
      <c r="L39" s="12">
        <f t="shared" si="4"/>
        <v>0</v>
      </c>
      <c r="M39" s="12">
        <f t="shared" si="5"/>
        <v>0</v>
      </c>
      <c r="N39" s="14" t="e">
        <f t="shared" si="8"/>
        <v>#DIV/0!</v>
      </c>
      <c r="O39" s="14" t="e">
        <f t="shared" si="9"/>
        <v>#DIV/0!</v>
      </c>
      <c r="P39" s="12" t="e">
        <f t="shared" si="6"/>
        <v>#DIV/0!</v>
      </c>
      <c r="Q39" s="12" t="e">
        <f t="shared" si="7"/>
        <v>#DIV/0!</v>
      </c>
    </row>
    <row r="40" spans="1:23">
      <c r="A40" s="8" t="s">
        <v>145</v>
      </c>
      <c r="B40" s="13"/>
      <c r="C40" s="13"/>
      <c r="D40" s="13"/>
      <c r="E40" s="13"/>
      <c r="F40" s="410"/>
      <c r="G40" s="410"/>
      <c r="H40" s="12">
        <f t="shared" si="0"/>
        <v>0</v>
      </c>
      <c r="I40" s="12">
        <f t="shared" si="1"/>
        <v>0</v>
      </c>
      <c r="J40" s="12">
        <f t="shared" si="2"/>
        <v>0</v>
      </c>
      <c r="K40" s="12">
        <f t="shared" si="3"/>
        <v>0</v>
      </c>
      <c r="L40" s="12">
        <f t="shared" si="4"/>
        <v>0</v>
      </c>
      <c r="M40" s="12">
        <f t="shared" si="5"/>
        <v>0</v>
      </c>
      <c r="N40" s="14" t="e">
        <f t="shared" si="8"/>
        <v>#DIV/0!</v>
      </c>
      <c r="O40" s="14" t="e">
        <f t="shared" si="9"/>
        <v>#DIV/0!</v>
      </c>
      <c r="P40" s="12" t="e">
        <f t="shared" si="6"/>
        <v>#DIV/0!</v>
      </c>
      <c r="Q40" s="12" t="e">
        <f t="shared" si="7"/>
        <v>#DIV/0!</v>
      </c>
    </row>
    <row r="41" spans="1:23">
      <c r="A41" s="8" t="s">
        <v>9</v>
      </c>
      <c r="B41" s="8">
        <f t="shared" ref="B41:G41" si="10">SUM(B23:B40)</f>
        <v>0</v>
      </c>
      <c r="C41" s="8">
        <f t="shared" si="10"/>
        <v>0</v>
      </c>
      <c r="D41" s="8">
        <f t="shared" si="10"/>
        <v>0</v>
      </c>
      <c r="E41" s="8">
        <f t="shared" si="10"/>
        <v>0</v>
      </c>
      <c r="F41" s="8">
        <f t="shared" si="10"/>
        <v>0</v>
      </c>
      <c r="G41" s="8">
        <f t="shared" si="10"/>
        <v>0</v>
      </c>
      <c r="H41" s="12">
        <f t="shared" si="0"/>
        <v>0</v>
      </c>
      <c r="I41" s="12">
        <f t="shared" si="1"/>
        <v>0</v>
      </c>
      <c r="J41" s="12">
        <f t="shared" si="2"/>
        <v>0</v>
      </c>
      <c r="K41" s="12">
        <f t="shared" si="3"/>
        <v>0</v>
      </c>
      <c r="L41" s="12">
        <f t="shared" si="4"/>
        <v>0</v>
      </c>
      <c r="M41" s="12">
        <f t="shared" si="5"/>
        <v>0</v>
      </c>
      <c r="N41" s="14" t="e">
        <f t="shared" si="8"/>
        <v>#DIV/0!</v>
      </c>
      <c r="O41" s="14" t="e">
        <f t="shared" si="9"/>
        <v>#DIV/0!</v>
      </c>
      <c r="P41" s="12" t="e">
        <f t="shared" si="6"/>
        <v>#DIV/0!</v>
      </c>
      <c r="Q41" s="12" t="e">
        <f t="shared" si="7"/>
        <v>#DIV/0!</v>
      </c>
    </row>
    <row r="42" spans="1:23">
      <c r="B42" s="70"/>
      <c r="C42" s="70"/>
      <c r="D42" s="70"/>
      <c r="E42" s="70"/>
      <c r="H42" s="12"/>
      <c r="I42" s="12"/>
      <c r="J42" s="12"/>
      <c r="K42" s="12"/>
      <c r="L42" s="12"/>
      <c r="M42" s="12"/>
      <c r="N42" s="14"/>
      <c r="O42" s="14"/>
      <c r="P42" s="12"/>
      <c r="Q42" s="12"/>
    </row>
    <row r="43" spans="1:23">
      <c r="A43" s="69" t="s">
        <v>284</v>
      </c>
    </row>
    <row r="44" spans="1:23">
      <c r="A44" s="73" t="s">
        <v>8</v>
      </c>
      <c r="B44" s="72">
        <v>1991</v>
      </c>
      <c r="C44" s="72">
        <v>1992</v>
      </c>
      <c r="D44" s="72">
        <v>1993</v>
      </c>
      <c r="E44" s="72">
        <v>1994</v>
      </c>
      <c r="F44" s="72">
        <v>1995</v>
      </c>
      <c r="G44" s="72">
        <v>1996</v>
      </c>
      <c r="H44" s="72">
        <v>1997</v>
      </c>
      <c r="I44" s="72">
        <v>1998</v>
      </c>
      <c r="J44" s="72">
        <v>1999</v>
      </c>
      <c r="K44" s="72">
        <v>2000</v>
      </c>
      <c r="L44" s="72">
        <v>2001</v>
      </c>
      <c r="M44" s="72">
        <v>2002</v>
      </c>
      <c r="N44" s="72">
        <v>2003</v>
      </c>
      <c r="O44" s="72">
        <v>2004</v>
      </c>
      <c r="P44" s="72">
        <v>2005</v>
      </c>
      <c r="Q44" s="72">
        <v>2006</v>
      </c>
      <c r="R44" s="72">
        <v>2007</v>
      </c>
      <c r="S44" s="72">
        <v>2008</v>
      </c>
      <c r="T44" s="72">
        <v>2009</v>
      </c>
      <c r="U44" s="72">
        <v>2010</v>
      </c>
      <c r="V44" s="72">
        <v>2011</v>
      </c>
      <c r="W44" s="72">
        <v>2012</v>
      </c>
    </row>
    <row r="45" spans="1:23">
      <c r="A45" s="8" t="s">
        <v>16</v>
      </c>
      <c r="B45" s="10">
        <v>73.597977157125527</v>
      </c>
      <c r="C45" s="10">
        <v>77.284539674184856</v>
      </c>
      <c r="D45" s="10">
        <v>80.568010481125015</v>
      </c>
      <c r="E45" s="10">
        <v>84.076061920958352</v>
      </c>
      <c r="F45" s="10">
        <v>87.75498854493469</v>
      </c>
      <c r="G45" s="10">
        <v>90.989876907166035</v>
      </c>
      <c r="H45" s="10">
        <v>94.343876363695102</v>
      </c>
      <c r="I45" s="10">
        <v>97.128660275331896</v>
      </c>
      <c r="J45" s="10">
        <v>99.367415115350013</v>
      </c>
      <c r="K45" s="10">
        <v>102.8110964232486</v>
      </c>
      <c r="L45" s="10">
        <v>104.84773387015626</v>
      </c>
      <c r="M45" s="10">
        <v>106.26824043953185</v>
      </c>
      <c r="N45" s="10">
        <v>107.92667323363257</v>
      </c>
      <c r="O45" s="10">
        <v>110.08942895739293</v>
      </c>
      <c r="P45" s="10">
        <v>111.83811659706224</v>
      </c>
      <c r="Q45" s="10">
        <v>114.07329162785871</v>
      </c>
      <c r="R45" s="10">
        <v>116.41342468725142</v>
      </c>
      <c r="S45" s="10">
        <v>119.07374424797987</v>
      </c>
      <c r="T45" s="10">
        <v>122.0226789826834</v>
      </c>
      <c r="U45" s="10">
        <v>126.72327632495308</v>
      </c>
      <c r="V45" s="10">
        <v>130.48516699754603</v>
      </c>
      <c r="W45" s="10">
        <v>133.98202652317022</v>
      </c>
    </row>
    <row r="46" spans="1:23">
      <c r="A46" s="8">
        <f>A2</f>
        <v>0</v>
      </c>
      <c r="B46" s="411"/>
      <c r="C46" s="411"/>
      <c r="D46" s="411"/>
      <c r="E46" s="411"/>
      <c r="F46" s="411"/>
      <c r="G46" s="411"/>
      <c r="H46" s="411"/>
      <c r="I46" s="411"/>
      <c r="J46" s="411"/>
      <c r="K46" s="411"/>
      <c r="L46" s="411"/>
      <c r="M46" s="411"/>
      <c r="N46" s="411"/>
      <c r="O46" s="411"/>
      <c r="P46" s="411"/>
      <c r="Q46" s="411"/>
      <c r="R46" s="411"/>
      <c r="S46" s="411"/>
      <c r="T46" s="411"/>
      <c r="U46" s="411"/>
      <c r="V46" s="411"/>
      <c r="W46" s="411"/>
    </row>
    <row r="47" spans="1:23">
      <c r="A47" s="8">
        <f>A3</f>
        <v>0</v>
      </c>
      <c r="B47" s="11"/>
      <c r="C47" s="11"/>
      <c r="D47" s="11"/>
      <c r="E47" s="11"/>
      <c r="F47" s="11"/>
      <c r="G47" s="11"/>
      <c r="H47" s="11"/>
      <c r="I47" s="11"/>
      <c r="J47" s="11"/>
      <c r="K47" s="11"/>
      <c r="L47" s="11"/>
      <c r="M47" s="11"/>
      <c r="N47" s="11"/>
      <c r="O47" s="11"/>
      <c r="P47" s="11"/>
      <c r="Q47" s="11"/>
      <c r="R47" s="11"/>
      <c r="S47" s="11"/>
      <c r="T47" s="11"/>
      <c r="U47" s="11"/>
      <c r="V47" s="11"/>
      <c r="W47" s="11"/>
    </row>
    <row r="48" spans="1:23">
      <c r="B48" s="70"/>
      <c r="C48" s="70"/>
      <c r="D48" s="70"/>
      <c r="E48" s="70"/>
      <c r="H48" s="12"/>
      <c r="I48" s="12"/>
      <c r="J48" s="12"/>
      <c r="K48" s="12"/>
      <c r="L48" s="12"/>
      <c r="M48" s="12"/>
      <c r="N48" s="14"/>
      <c r="O48" s="14"/>
      <c r="P48" s="12"/>
      <c r="Q48" s="12"/>
    </row>
    <row r="49" spans="1:23">
      <c r="A49" s="69" t="s">
        <v>286</v>
      </c>
    </row>
    <row r="50" spans="1:23">
      <c r="A50" s="9" t="s">
        <v>8</v>
      </c>
      <c r="B50" s="72">
        <v>1991</v>
      </c>
      <c r="C50" s="72">
        <v>1992</v>
      </c>
      <c r="D50" s="72">
        <v>1993</v>
      </c>
      <c r="E50" s="72">
        <v>1994</v>
      </c>
      <c r="F50" s="72">
        <v>1995</v>
      </c>
      <c r="G50" s="72">
        <v>1996</v>
      </c>
      <c r="H50" s="72">
        <v>1997</v>
      </c>
      <c r="I50" s="72">
        <v>1998</v>
      </c>
      <c r="J50" s="72">
        <v>1999</v>
      </c>
      <c r="K50" s="72">
        <v>2000</v>
      </c>
      <c r="L50" s="72">
        <v>2001</v>
      </c>
      <c r="M50" s="72">
        <v>2002</v>
      </c>
      <c r="N50" s="72">
        <v>2003</v>
      </c>
      <c r="O50" s="72">
        <v>2004</v>
      </c>
      <c r="P50" s="72">
        <v>2005</v>
      </c>
      <c r="Q50" s="72">
        <v>2006</v>
      </c>
      <c r="R50" s="72">
        <v>2007</v>
      </c>
      <c r="S50" s="72">
        <v>2008</v>
      </c>
      <c r="T50" s="72">
        <v>2009</v>
      </c>
      <c r="U50" s="72">
        <v>2010</v>
      </c>
      <c r="V50" s="72">
        <v>2011</v>
      </c>
      <c r="W50" s="72">
        <v>2012</v>
      </c>
    </row>
    <row r="51" spans="1:23">
      <c r="A51" s="8" t="s">
        <v>16</v>
      </c>
      <c r="B51" s="10">
        <v>28.536817399626358</v>
      </c>
      <c r="C51" s="10">
        <v>27.640010416919242</v>
      </c>
      <c r="D51" s="10">
        <v>26.967640887492212</v>
      </c>
      <c r="E51" s="10">
        <v>26.283184696165769</v>
      </c>
      <c r="F51" s="10">
        <v>25.635041762761851</v>
      </c>
      <c r="G51" s="10">
        <v>25.128952446632113</v>
      </c>
      <c r="H51" s="10">
        <v>24.677512970461901</v>
      </c>
      <c r="I51" s="10">
        <v>24.344458823769827</v>
      </c>
      <c r="J51" s="10">
        <v>24.096354492361453</v>
      </c>
      <c r="K51" s="10">
        <v>23.764988413887199</v>
      </c>
      <c r="L51" s="10">
        <v>23.700558061275899</v>
      </c>
      <c r="M51" s="10">
        <v>23.703865870197514</v>
      </c>
      <c r="N51" s="10">
        <v>23.676990277986803</v>
      </c>
      <c r="O51" s="10">
        <v>23.632804135511616</v>
      </c>
      <c r="P51" s="10">
        <v>23.544357063862702</v>
      </c>
      <c r="Q51" s="10">
        <v>23.356119837933598</v>
      </c>
      <c r="R51" s="10">
        <v>23.146136091416036</v>
      </c>
      <c r="S51" s="10">
        <v>23.001501028815206</v>
      </c>
      <c r="T51" s="10">
        <v>22.868282465069253</v>
      </c>
      <c r="U51" s="10">
        <v>22.64146287627803</v>
      </c>
      <c r="V51" s="10">
        <v>22.470303037639859</v>
      </c>
      <c r="W51" s="10">
        <v>22.356048909791866</v>
      </c>
    </row>
    <row r="52" spans="1:23">
      <c r="A52" s="8">
        <f>A2</f>
        <v>0</v>
      </c>
      <c r="B52" s="411"/>
      <c r="C52" s="411"/>
      <c r="D52" s="411"/>
      <c r="E52" s="411"/>
      <c r="F52" s="411"/>
      <c r="G52" s="411"/>
      <c r="H52" s="411"/>
      <c r="I52" s="411"/>
      <c r="J52" s="411"/>
      <c r="K52" s="411"/>
      <c r="L52" s="411"/>
      <c r="M52" s="411"/>
      <c r="N52" s="411"/>
      <c r="O52" s="411"/>
      <c r="P52" s="411"/>
      <c r="Q52" s="411"/>
      <c r="R52" s="411"/>
      <c r="S52" s="411"/>
      <c r="T52" s="411"/>
      <c r="U52" s="411"/>
      <c r="V52" s="411"/>
      <c r="W52" s="411"/>
    </row>
    <row r="53" spans="1:23">
      <c r="A53" s="8">
        <f>A3</f>
        <v>0</v>
      </c>
      <c r="B53" s="11"/>
      <c r="C53" s="11"/>
      <c r="D53" s="11"/>
      <c r="E53" s="11"/>
      <c r="F53" s="11"/>
      <c r="G53" s="11"/>
      <c r="H53" s="11"/>
      <c r="I53" s="11"/>
      <c r="J53" s="11"/>
      <c r="K53" s="11"/>
      <c r="L53" s="11"/>
      <c r="M53" s="11"/>
      <c r="N53" s="11"/>
      <c r="O53" s="11"/>
      <c r="P53" s="11"/>
      <c r="Q53" s="11"/>
      <c r="R53" s="11"/>
      <c r="S53" s="11"/>
      <c r="T53" s="11"/>
      <c r="U53" s="11"/>
      <c r="V53" s="11"/>
      <c r="W53" s="11"/>
    </row>
    <row r="54" spans="1:23">
      <c r="B54" s="70"/>
      <c r="C54" s="70"/>
      <c r="D54" s="70"/>
      <c r="E54" s="70"/>
      <c r="H54" s="12"/>
      <c r="I54" s="12"/>
      <c r="J54" s="12"/>
      <c r="K54" s="12"/>
      <c r="L54" s="12"/>
      <c r="M54" s="12"/>
      <c r="N54" s="14"/>
      <c r="O54" s="14"/>
      <c r="P54" s="12"/>
      <c r="Q54" s="12"/>
    </row>
    <row r="55" spans="1:23">
      <c r="A55" s="69" t="s">
        <v>285</v>
      </c>
    </row>
    <row r="56" spans="1:23">
      <c r="A56" s="9" t="s">
        <v>8</v>
      </c>
      <c r="B56" s="72">
        <v>1991</v>
      </c>
      <c r="C56" s="72">
        <v>1992</v>
      </c>
      <c r="D56" s="72">
        <v>1993</v>
      </c>
      <c r="E56" s="72">
        <v>1994</v>
      </c>
      <c r="F56" s="72">
        <v>1995</v>
      </c>
      <c r="G56" s="72">
        <v>1996</v>
      </c>
      <c r="H56" s="72">
        <v>1997</v>
      </c>
      <c r="I56" s="72">
        <v>1998</v>
      </c>
      <c r="J56" s="72">
        <v>1999</v>
      </c>
      <c r="K56" s="72">
        <v>2000</v>
      </c>
      <c r="L56" s="72">
        <v>2001</v>
      </c>
      <c r="M56" s="72">
        <v>2002</v>
      </c>
      <c r="N56" s="72">
        <v>2003</v>
      </c>
      <c r="O56" s="72">
        <v>2004</v>
      </c>
      <c r="P56" s="72">
        <v>2005</v>
      </c>
      <c r="Q56" s="72">
        <v>2006</v>
      </c>
      <c r="R56" s="72">
        <v>2007</v>
      </c>
      <c r="S56" s="72">
        <v>2008</v>
      </c>
      <c r="T56" s="72">
        <v>2009</v>
      </c>
      <c r="U56" s="72">
        <v>2010</v>
      </c>
      <c r="V56" s="72">
        <v>2011</v>
      </c>
      <c r="W56" s="72">
        <v>2012</v>
      </c>
    </row>
    <row r="57" spans="1:23">
      <c r="A57" s="8" t="s">
        <v>16</v>
      </c>
      <c r="B57" s="10">
        <v>21.002520351147631</v>
      </c>
      <c r="C57" s="10">
        <v>21.361454816612781</v>
      </c>
      <c r="D57" s="10">
        <v>21.727291736746885</v>
      </c>
      <c r="E57" s="10">
        <v>22.09786663994818</v>
      </c>
      <c r="F57" s="10">
        <v>22.496027962400884</v>
      </c>
      <c r="G57" s="10">
        <v>22.864802899250847</v>
      </c>
      <c r="H57" s="10">
        <v>23.281722326487397</v>
      </c>
      <c r="I57" s="10">
        <v>23.645446706807451</v>
      </c>
      <c r="J57" s="10">
        <v>23.943924596091094</v>
      </c>
      <c r="K57" s="10">
        <v>24.433045153175424</v>
      </c>
      <c r="L57" s="10">
        <v>24.849498041828422</v>
      </c>
      <c r="M57" s="10">
        <v>25.189681176405625</v>
      </c>
      <c r="N57" s="10">
        <v>25.553787928881768</v>
      </c>
      <c r="O57" s="10">
        <v>26.017219119403883</v>
      </c>
      <c r="P57" s="10">
        <v>26.331565505111428</v>
      </c>
      <c r="Q57" s="10">
        <v>26.643094695678155</v>
      </c>
      <c r="R57" s="10">
        <v>26.945209706789331</v>
      </c>
      <c r="S57" s="10">
        <v>27.388748508247879</v>
      </c>
      <c r="T57" s="10">
        <v>27.904490901204731</v>
      </c>
      <c r="U57" s="10">
        <v>28.692003564717481</v>
      </c>
      <c r="V57" s="10">
        <v>29.320412443519029</v>
      </c>
      <c r="W57" s="10">
        <v>29.953087379850245</v>
      </c>
    </row>
    <row r="58" spans="1:23">
      <c r="A58" s="8">
        <f>A2</f>
        <v>0</v>
      </c>
      <c r="B58" s="411"/>
      <c r="C58" s="411"/>
      <c r="D58" s="411"/>
      <c r="E58" s="411"/>
      <c r="F58" s="411"/>
      <c r="G58" s="411"/>
      <c r="H58" s="411"/>
      <c r="I58" s="411"/>
      <c r="J58" s="411"/>
      <c r="K58" s="411"/>
      <c r="L58" s="411"/>
      <c r="M58" s="411"/>
      <c r="N58" s="411"/>
      <c r="O58" s="411"/>
      <c r="P58" s="411"/>
      <c r="Q58" s="411"/>
      <c r="R58" s="411"/>
      <c r="S58" s="411"/>
      <c r="T58" s="411"/>
      <c r="U58" s="411"/>
      <c r="V58" s="411"/>
      <c r="W58" s="411"/>
    </row>
    <row r="59" spans="1:23">
      <c r="A59" s="8">
        <f>A3</f>
        <v>0</v>
      </c>
      <c r="B59" s="11"/>
      <c r="C59" s="11"/>
      <c r="D59" s="11"/>
      <c r="E59" s="11"/>
      <c r="F59" s="11"/>
      <c r="G59" s="11"/>
      <c r="H59" s="11"/>
      <c r="I59" s="11"/>
      <c r="J59" s="11"/>
      <c r="K59" s="11"/>
      <c r="L59" s="11"/>
      <c r="M59" s="11"/>
      <c r="N59" s="11"/>
      <c r="O59" s="11"/>
      <c r="P59" s="11"/>
      <c r="Q59" s="11"/>
      <c r="R59" s="11"/>
      <c r="S59" s="11"/>
      <c r="T59" s="11"/>
      <c r="U59" s="11"/>
      <c r="V59" s="11"/>
      <c r="W59" s="11"/>
    </row>
    <row r="60" spans="1:23">
      <c r="B60" s="70"/>
      <c r="C60" s="70"/>
      <c r="D60" s="70"/>
      <c r="E60" s="70"/>
      <c r="H60" s="12"/>
      <c r="I60" s="12"/>
      <c r="J60" s="12"/>
      <c r="K60" s="12"/>
      <c r="L60" s="12"/>
      <c r="M60" s="12"/>
      <c r="N60" s="14"/>
      <c r="O60" s="14"/>
      <c r="P60" s="12"/>
      <c r="Q60" s="12"/>
    </row>
    <row r="61" spans="1:23">
      <c r="A61" s="69" t="s">
        <v>287</v>
      </c>
    </row>
    <row r="62" spans="1:23">
      <c r="A62" s="9" t="s">
        <v>8</v>
      </c>
      <c r="B62" s="72">
        <v>1996</v>
      </c>
      <c r="C62" s="72">
        <v>1997</v>
      </c>
      <c r="D62" s="72">
        <v>1998</v>
      </c>
      <c r="E62" s="72">
        <v>1999</v>
      </c>
      <c r="F62" s="72">
        <v>2000</v>
      </c>
      <c r="G62" s="72">
        <v>2001</v>
      </c>
      <c r="H62" s="72">
        <v>2002</v>
      </c>
      <c r="I62" s="72">
        <v>2003</v>
      </c>
      <c r="J62" s="72">
        <v>2004</v>
      </c>
      <c r="K62" s="72">
        <v>2005</v>
      </c>
      <c r="L62" s="72">
        <v>2006</v>
      </c>
      <c r="M62" s="72">
        <v>2007</v>
      </c>
      <c r="N62" s="72">
        <v>2008</v>
      </c>
      <c r="O62" s="72">
        <v>2009</v>
      </c>
      <c r="P62" s="72">
        <v>2010</v>
      </c>
      <c r="Q62" s="72">
        <v>2011</v>
      </c>
      <c r="R62" s="72">
        <v>2012</v>
      </c>
    </row>
    <row r="63" spans="1:23">
      <c r="A63" s="8" t="s">
        <v>16</v>
      </c>
      <c r="B63" s="88">
        <v>103668</v>
      </c>
      <c r="C63" s="88">
        <v>106299</v>
      </c>
      <c r="D63" s="88">
        <v>106857</v>
      </c>
      <c r="E63" s="88">
        <v>109381</v>
      </c>
      <c r="F63" s="88">
        <v>113318</v>
      </c>
      <c r="G63" s="88">
        <v>106479</v>
      </c>
      <c r="H63" s="88">
        <v>108192</v>
      </c>
      <c r="I63" s="88">
        <v>106232</v>
      </c>
      <c r="J63" s="88">
        <v>103309</v>
      </c>
      <c r="K63" s="88">
        <v>103420</v>
      </c>
      <c r="L63" s="88">
        <v>99713</v>
      </c>
      <c r="M63" s="88">
        <v>96925</v>
      </c>
      <c r="N63" s="88">
        <v>99057</v>
      </c>
      <c r="O63" s="88">
        <v>94324</v>
      </c>
      <c r="P63" s="88">
        <v>96133</v>
      </c>
      <c r="Q63" s="88">
        <v>91701</v>
      </c>
      <c r="R63" s="88">
        <v>85306</v>
      </c>
      <c r="S63" s="90"/>
      <c r="T63" s="90"/>
      <c r="U63" s="90"/>
    </row>
    <row r="64" spans="1:23">
      <c r="A64" s="8">
        <f>A2</f>
        <v>0</v>
      </c>
      <c r="B64" s="412"/>
      <c r="C64" s="412"/>
      <c r="D64" s="412"/>
      <c r="E64" s="412"/>
      <c r="F64" s="412"/>
      <c r="G64" s="412"/>
      <c r="H64" s="412"/>
      <c r="I64" s="412"/>
      <c r="J64" s="412"/>
      <c r="K64" s="412"/>
      <c r="L64" s="412"/>
      <c r="M64" s="412"/>
      <c r="N64" s="412"/>
      <c r="O64" s="412"/>
      <c r="P64" s="412"/>
      <c r="Q64" s="412"/>
      <c r="R64" s="412"/>
      <c r="S64" s="90"/>
      <c r="T64" s="90"/>
      <c r="U64" s="90"/>
    </row>
    <row r="65" spans="1:21">
      <c r="A65" s="8">
        <f>A3</f>
        <v>0</v>
      </c>
      <c r="B65" s="89"/>
      <c r="C65" s="89"/>
      <c r="D65" s="89"/>
      <c r="E65" s="89"/>
      <c r="F65" s="89"/>
      <c r="G65" s="89"/>
      <c r="H65" s="89"/>
      <c r="I65" s="89"/>
      <c r="J65" s="89"/>
      <c r="K65" s="89"/>
      <c r="L65" s="89"/>
      <c r="M65" s="89"/>
      <c r="N65" s="89"/>
      <c r="O65" s="89"/>
      <c r="P65" s="89"/>
      <c r="Q65" s="89"/>
      <c r="R65" s="89"/>
      <c r="S65" s="90"/>
      <c r="T65" s="90"/>
      <c r="U65" s="90"/>
    </row>
    <row r="66" spans="1:21">
      <c r="B66" s="70"/>
      <c r="C66" s="70"/>
      <c r="D66" s="70"/>
      <c r="E66" s="70"/>
      <c r="H66" s="12"/>
      <c r="I66" s="12"/>
      <c r="J66" s="12"/>
      <c r="K66" s="12"/>
      <c r="L66" s="12"/>
      <c r="M66" s="12"/>
      <c r="N66" s="14"/>
      <c r="O66" s="14"/>
      <c r="P66" s="12"/>
      <c r="Q66" s="12"/>
      <c r="R66" s="12"/>
    </row>
    <row r="67" spans="1:21">
      <c r="A67" s="69" t="s">
        <v>290</v>
      </c>
    </row>
    <row r="68" spans="1:21">
      <c r="A68" s="9" t="s">
        <v>8</v>
      </c>
      <c r="B68" s="72">
        <v>1996</v>
      </c>
      <c r="C68" s="72">
        <v>1997</v>
      </c>
      <c r="D68" s="72">
        <v>1998</v>
      </c>
      <c r="E68" s="72">
        <v>1999</v>
      </c>
      <c r="F68" s="72">
        <v>2000</v>
      </c>
      <c r="G68" s="72">
        <v>2001</v>
      </c>
      <c r="H68" s="72">
        <v>2002</v>
      </c>
      <c r="I68" s="72">
        <v>2003</v>
      </c>
      <c r="J68" s="72">
        <v>2004</v>
      </c>
      <c r="K68" s="72">
        <v>2005</v>
      </c>
      <c r="L68" s="72">
        <v>2006</v>
      </c>
      <c r="M68" s="72">
        <v>2007</v>
      </c>
      <c r="N68" s="72">
        <v>2008</v>
      </c>
      <c r="O68" s="72">
        <v>2009</v>
      </c>
      <c r="P68" s="72">
        <v>2010</v>
      </c>
      <c r="Q68" s="72">
        <v>2011</v>
      </c>
      <c r="R68" s="72">
        <v>2012</v>
      </c>
    </row>
    <row r="69" spans="1:21">
      <c r="A69" s="8" t="s">
        <v>16</v>
      </c>
      <c r="B69" s="10">
        <v>10.821126059730386</v>
      </c>
      <c r="C69" s="10">
        <v>11.042744601820905</v>
      </c>
      <c r="D69" s="10">
        <v>11.041624559345594</v>
      </c>
      <c r="E69" s="10">
        <v>11.236130496118188</v>
      </c>
      <c r="F69" s="10">
        <v>11.556765735318571</v>
      </c>
      <c r="G69" s="10">
        <v>10.783038429112857</v>
      </c>
      <c r="H69" s="10">
        <v>10.898670928677733</v>
      </c>
      <c r="I69" s="10">
        <v>10.663047809664718</v>
      </c>
      <c r="J69" s="10">
        <v>10.346899410558548</v>
      </c>
      <c r="K69" s="10">
        <v>10.340910585069862</v>
      </c>
      <c r="L69" s="10">
        <v>9.9543378083745289</v>
      </c>
      <c r="M69" s="10">
        <v>9.6590035416180218</v>
      </c>
      <c r="N69" s="10">
        <v>9.8590047955866638</v>
      </c>
      <c r="O69" s="10">
        <v>9.3803064680297972</v>
      </c>
      <c r="P69" s="10">
        <v>9.5569792875117994</v>
      </c>
      <c r="Q69" s="10">
        <v>9.1294888383260311</v>
      </c>
      <c r="R69" s="10">
        <v>8.527352357854511</v>
      </c>
      <c r="S69" s="10"/>
      <c r="T69" s="10"/>
      <c r="U69" s="10"/>
    </row>
    <row r="70" spans="1:21">
      <c r="A70" s="8">
        <f>A2</f>
        <v>0</v>
      </c>
      <c r="B70" s="411"/>
      <c r="C70" s="411"/>
      <c r="D70" s="411"/>
      <c r="E70" s="411"/>
      <c r="F70" s="411"/>
      <c r="G70" s="411"/>
      <c r="H70" s="411"/>
      <c r="I70" s="411"/>
      <c r="J70" s="411"/>
      <c r="K70" s="411"/>
      <c r="L70" s="411"/>
      <c r="M70" s="411"/>
      <c r="N70" s="411"/>
      <c r="O70" s="411"/>
      <c r="P70" s="411"/>
      <c r="Q70" s="411"/>
      <c r="R70" s="411"/>
      <c r="S70" s="10"/>
      <c r="T70" s="10"/>
      <c r="U70" s="10"/>
    </row>
    <row r="71" spans="1:21">
      <c r="A71" s="8">
        <f>A3</f>
        <v>0</v>
      </c>
      <c r="B71" s="11"/>
      <c r="C71" s="11"/>
      <c r="D71" s="11"/>
      <c r="E71" s="11"/>
      <c r="F71" s="11"/>
      <c r="G71" s="11"/>
      <c r="H71" s="11"/>
      <c r="I71" s="11"/>
      <c r="J71" s="11"/>
      <c r="K71" s="11"/>
      <c r="L71" s="11"/>
      <c r="M71" s="11"/>
      <c r="N71" s="11"/>
      <c r="O71" s="11"/>
      <c r="P71" s="11"/>
      <c r="Q71" s="11"/>
      <c r="R71" s="11"/>
      <c r="S71" s="90"/>
      <c r="T71" s="90"/>
      <c r="U71" s="90"/>
    </row>
    <row r="72" spans="1:21">
      <c r="B72" s="70"/>
      <c r="C72" s="70"/>
      <c r="D72" s="70"/>
      <c r="E72" s="70"/>
      <c r="H72" s="12"/>
      <c r="I72" s="12"/>
      <c r="J72" s="12"/>
      <c r="K72" s="12"/>
      <c r="L72" s="12"/>
      <c r="M72" s="12"/>
      <c r="N72" s="14"/>
      <c r="O72" s="14"/>
      <c r="P72" s="12"/>
      <c r="Q72" s="12"/>
      <c r="R72" s="12"/>
    </row>
    <row r="73" spans="1:21">
      <c r="A73" s="69" t="s">
        <v>291</v>
      </c>
    </row>
    <row r="74" spans="1:21">
      <c r="A74" s="9" t="s">
        <v>8</v>
      </c>
      <c r="B74" s="72">
        <v>1996</v>
      </c>
      <c r="C74" s="72">
        <v>1997</v>
      </c>
      <c r="D74" s="72">
        <v>1998</v>
      </c>
      <c r="E74" s="72">
        <v>1999</v>
      </c>
      <c r="F74" s="72">
        <v>2000</v>
      </c>
      <c r="G74" s="72">
        <v>2001</v>
      </c>
      <c r="H74" s="72">
        <v>2002</v>
      </c>
      <c r="I74" s="72">
        <v>2003</v>
      </c>
      <c r="J74" s="72">
        <v>2004</v>
      </c>
      <c r="K74" s="72">
        <v>2005</v>
      </c>
      <c r="L74" s="72">
        <v>2006</v>
      </c>
      <c r="M74" s="72">
        <v>2007</v>
      </c>
      <c r="N74" s="72">
        <v>2008</v>
      </c>
      <c r="O74" s="72">
        <v>2009</v>
      </c>
      <c r="P74" s="72">
        <v>2010</v>
      </c>
      <c r="Q74" s="72">
        <v>2011</v>
      </c>
      <c r="R74" s="72">
        <v>2012</v>
      </c>
    </row>
    <row r="75" spans="1:21">
      <c r="A75" s="8" t="s">
        <v>16</v>
      </c>
      <c r="B75" s="102">
        <v>1.43273764133683</v>
      </c>
      <c r="C75" s="102">
        <v>1.4611013039185572</v>
      </c>
      <c r="D75" s="102">
        <v>1.4637021530801475</v>
      </c>
      <c r="E75" s="102">
        <v>1.4938896550464988</v>
      </c>
      <c r="F75" s="102">
        <v>1.5426097879157423</v>
      </c>
      <c r="G75" s="102">
        <v>1.4442204917011185</v>
      </c>
      <c r="H75" s="102">
        <v>1.4624444371409304</v>
      </c>
      <c r="I75" s="102">
        <v>1.4351019148859052</v>
      </c>
      <c r="J75" s="102">
        <v>1.402336090443824</v>
      </c>
      <c r="K75" s="102">
        <v>1.4135648144842672</v>
      </c>
      <c r="L75" s="102">
        <v>1.3742621168427569</v>
      </c>
      <c r="M75" s="102">
        <v>1.3502316877831153</v>
      </c>
      <c r="N75" s="102">
        <v>1.3827809255730685</v>
      </c>
      <c r="O75" s="102">
        <v>1.347474588283234</v>
      </c>
      <c r="P75" s="102">
        <v>1.3942369399420746</v>
      </c>
      <c r="Q75" s="102">
        <v>1.3498754066360792</v>
      </c>
      <c r="R75" s="102">
        <v>1.2877062357186866</v>
      </c>
      <c r="S75" s="10"/>
      <c r="T75" s="10"/>
      <c r="U75" s="10"/>
    </row>
    <row r="76" spans="1:21">
      <c r="A76" s="8">
        <f>A2</f>
        <v>0</v>
      </c>
      <c r="B76" s="413"/>
      <c r="C76" s="413"/>
      <c r="D76" s="413"/>
      <c r="E76" s="413"/>
      <c r="F76" s="413"/>
      <c r="G76" s="413"/>
      <c r="H76" s="413"/>
      <c r="I76" s="413"/>
      <c r="J76" s="413"/>
      <c r="K76" s="413"/>
      <c r="L76" s="413"/>
      <c r="M76" s="413"/>
      <c r="N76" s="413"/>
      <c r="O76" s="413"/>
      <c r="P76" s="413"/>
      <c r="Q76" s="413"/>
      <c r="R76" s="413"/>
      <c r="S76" s="10"/>
      <c r="T76" s="10"/>
      <c r="U76" s="10"/>
    </row>
    <row r="77" spans="1:21">
      <c r="A77" s="8">
        <f>A3</f>
        <v>0</v>
      </c>
      <c r="B77" s="103"/>
      <c r="C77" s="103"/>
      <c r="D77" s="103"/>
      <c r="E77" s="103"/>
      <c r="F77" s="103"/>
      <c r="G77" s="103"/>
      <c r="H77" s="103"/>
      <c r="I77" s="103"/>
      <c r="J77" s="103"/>
      <c r="K77" s="103"/>
      <c r="L77" s="103"/>
      <c r="M77" s="103"/>
      <c r="N77" s="103"/>
      <c r="O77" s="103"/>
      <c r="P77" s="103"/>
      <c r="Q77" s="103"/>
      <c r="R77" s="103"/>
      <c r="S77" s="90"/>
      <c r="T77" s="90"/>
      <c r="U77" s="90"/>
    </row>
    <row r="78" spans="1:21">
      <c r="B78" s="70"/>
      <c r="C78" s="70"/>
      <c r="D78" s="70"/>
      <c r="E78" s="70"/>
      <c r="H78" s="12"/>
      <c r="I78" s="12"/>
      <c r="J78" s="12"/>
      <c r="K78" s="12"/>
      <c r="L78" s="12"/>
      <c r="M78" s="12"/>
      <c r="N78" s="14"/>
      <c r="O78" s="14"/>
      <c r="P78" s="12"/>
      <c r="Q78" s="12"/>
    </row>
    <row r="79" spans="1:21">
      <c r="A79" s="69" t="s">
        <v>292</v>
      </c>
    </row>
    <row r="80" spans="1:21">
      <c r="A80" s="9" t="s">
        <v>174</v>
      </c>
      <c r="B80" s="72" t="s">
        <v>42</v>
      </c>
      <c r="C80" s="72" t="s">
        <v>43</v>
      </c>
      <c r="D80" s="72" t="s">
        <v>44</v>
      </c>
      <c r="E80" s="72" t="s">
        <v>45</v>
      </c>
      <c r="F80" s="72" t="s">
        <v>46</v>
      </c>
      <c r="G80" s="107" t="s">
        <v>20</v>
      </c>
      <c r="H80" s="107" t="s">
        <v>21</v>
      </c>
      <c r="I80" s="107" t="s">
        <v>22</v>
      </c>
      <c r="J80" s="107" t="s">
        <v>47</v>
      </c>
      <c r="K80" s="107" t="s">
        <v>48</v>
      </c>
      <c r="L80" s="107" t="s">
        <v>172</v>
      </c>
      <c r="M80" s="107" t="s">
        <v>129</v>
      </c>
      <c r="N80" s="107" t="s">
        <v>173</v>
      </c>
      <c r="O80" s="107" t="s">
        <v>212</v>
      </c>
      <c r="P80" s="107" t="s">
        <v>297</v>
      </c>
      <c r="Q80" s="70"/>
      <c r="R80" s="107" t="s">
        <v>268</v>
      </c>
      <c r="S80" s="8" t="s">
        <v>269</v>
      </c>
      <c r="T80" s="8" t="s">
        <v>270</v>
      </c>
    </row>
    <row r="81" spans="1:21">
      <c r="A81" s="8" t="s">
        <v>16</v>
      </c>
      <c r="B81" s="10">
        <v>75.842931027107568</v>
      </c>
      <c r="C81" s="10">
        <v>76.150955935506246</v>
      </c>
      <c r="D81" s="10">
        <v>76.47967569130401</v>
      </c>
      <c r="E81" s="10">
        <v>76.913818460382458</v>
      </c>
      <c r="F81" s="10">
        <v>77.317543385493849</v>
      </c>
      <c r="G81" s="10">
        <v>77.538677702453555</v>
      </c>
      <c r="H81" s="10">
        <v>77.914654403544915</v>
      </c>
      <c r="I81" s="10">
        <v>78.169372327918623</v>
      </c>
      <c r="J81" s="10">
        <v>78.679601142304676</v>
      </c>
      <c r="K81" s="10">
        <v>78.961769893920803</v>
      </c>
      <c r="L81" s="10">
        <v>79.388113844452818</v>
      </c>
      <c r="M81" s="10">
        <v>79.624992373266664</v>
      </c>
      <c r="N81" s="10">
        <v>79.869711060519549</v>
      </c>
      <c r="O81" s="10">
        <v>80.286881840493976</v>
      </c>
      <c r="P81" s="10">
        <v>80.571829775787393</v>
      </c>
      <c r="Q81" s="90"/>
      <c r="R81" s="10">
        <f>N81-B81</f>
        <v>4.0267800334119812</v>
      </c>
      <c r="S81" s="10">
        <f>B83-B81</f>
        <v>-75.842931027107568</v>
      </c>
      <c r="T81" s="10">
        <f>N83-N81</f>
        <v>-79.869711060519549</v>
      </c>
      <c r="U81" s="10"/>
    </row>
    <row r="82" spans="1:21">
      <c r="A82" s="8">
        <f>A2</f>
        <v>0</v>
      </c>
      <c r="B82" s="411"/>
      <c r="C82" s="411"/>
      <c r="D82" s="411"/>
      <c r="E82" s="411"/>
      <c r="F82" s="411"/>
      <c r="G82" s="411"/>
      <c r="H82" s="411"/>
      <c r="I82" s="411"/>
      <c r="J82" s="411"/>
      <c r="K82" s="411"/>
      <c r="L82" s="411"/>
      <c r="M82" s="411"/>
      <c r="N82" s="411"/>
      <c r="O82" s="411"/>
      <c r="P82" s="411"/>
      <c r="Q82" s="90"/>
      <c r="R82" s="10">
        <f>N82-B82</f>
        <v>0</v>
      </c>
      <c r="S82" s="10">
        <f>B83-B82</f>
        <v>0</v>
      </c>
      <c r="T82" s="10">
        <f>N83-N82</f>
        <v>0</v>
      </c>
      <c r="U82" s="10"/>
    </row>
    <row r="83" spans="1:21">
      <c r="A83" s="8">
        <f>A3</f>
        <v>0</v>
      </c>
      <c r="B83" s="11"/>
      <c r="C83" s="11"/>
      <c r="D83" s="11"/>
      <c r="E83" s="11"/>
      <c r="F83" s="11"/>
      <c r="G83" s="11"/>
      <c r="H83" s="11"/>
      <c r="I83" s="11"/>
      <c r="J83" s="11"/>
      <c r="K83" s="11"/>
      <c r="L83" s="11"/>
      <c r="M83" s="11"/>
      <c r="N83" s="11"/>
      <c r="O83" s="11"/>
      <c r="P83" s="11"/>
      <c r="Q83" s="90"/>
      <c r="R83" s="16">
        <f>N83-B83</f>
        <v>0</v>
      </c>
      <c r="S83" s="90"/>
      <c r="T83" s="90"/>
      <c r="U83" s="90"/>
    </row>
    <row r="84" spans="1:21">
      <c r="A84" s="9" t="s">
        <v>62</v>
      </c>
      <c r="B84" s="72" t="s">
        <v>42</v>
      </c>
      <c r="C84" s="72" t="s">
        <v>43</v>
      </c>
      <c r="D84" s="72" t="s">
        <v>44</v>
      </c>
      <c r="E84" s="72" t="s">
        <v>45</v>
      </c>
      <c r="F84" s="72" t="s">
        <v>46</v>
      </c>
      <c r="G84" s="107" t="s">
        <v>20</v>
      </c>
      <c r="H84" s="107" t="s">
        <v>21</v>
      </c>
      <c r="I84" s="107" t="s">
        <v>22</v>
      </c>
      <c r="J84" s="107" t="s">
        <v>47</v>
      </c>
      <c r="K84" s="107" t="s">
        <v>48</v>
      </c>
      <c r="L84" s="107" t="s">
        <v>172</v>
      </c>
      <c r="M84" s="107" t="s">
        <v>129</v>
      </c>
      <c r="N84" s="107" t="s">
        <v>173</v>
      </c>
      <c r="O84" s="107" t="s">
        <v>212</v>
      </c>
      <c r="P84" s="107" t="s">
        <v>297</v>
      </c>
      <c r="Q84" s="70"/>
    </row>
    <row r="85" spans="1:21">
      <c r="A85" s="8" t="s">
        <v>16</v>
      </c>
      <c r="B85" s="10">
        <v>72.236034473125429</v>
      </c>
      <c r="C85" s="10">
        <v>72.59212045396508</v>
      </c>
      <c r="D85" s="10">
        <v>72.939511744395816</v>
      </c>
      <c r="E85" s="10">
        <v>73.382464218606671</v>
      </c>
      <c r="F85" s="10">
        <v>73.807200112506806</v>
      </c>
      <c r="G85" s="10">
        <v>74.111729973825817</v>
      </c>
      <c r="H85" s="10">
        <v>74.53809573917448</v>
      </c>
      <c r="I85" s="10">
        <v>74.836478445845216</v>
      </c>
      <c r="J85" s="10">
        <v>75.268369061226039</v>
      </c>
      <c r="K85" s="10">
        <v>75.58199477957811</v>
      </c>
      <c r="L85" s="10">
        <v>76.037112625383713</v>
      </c>
      <c r="M85" s="10">
        <v>76.384046458242906</v>
      </c>
      <c r="N85" s="10">
        <v>76.656367834144277</v>
      </c>
      <c r="O85" s="10">
        <v>77.046402771931596</v>
      </c>
      <c r="P85" s="10">
        <v>77.325289100626719</v>
      </c>
      <c r="Q85" s="90"/>
      <c r="R85" s="10">
        <f>N85-B85</f>
        <v>4.420333361018848</v>
      </c>
      <c r="S85" s="10">
        <f>B87-B85</f>
        <v>-72.236034473125429</v>
      </c>
      <c r="T85" s="10">
        <f>N87-N85</f>
        <v>-76.656367834144277</v>
      </c>
      <c r="U85" s="10"/>
    </row>
    <row r="86" spans="1:21">
      <c r="A86" s="8">
        <f>A2</f>
        <v>0</v>
      </c>
      <c r="B86" s="411"/>
      <c r="C86" s="411"/>
      <c r="D86" s="411"/>
      <c r="E86" s="411"/>
      <c r="F86" s="411"/>
      <c r="G86" s="411"/>
      <c r="H86" s="411"/>
      <c r="I86" s="411"/>
      <c r="J86" s="411"/>
      <c r="K86" s="411"/>
      <c r="L86" s="411"/>
      <c r="M86" s="411"/>
      <c r="N86" s="411"/>
      <c r="O86" s="411"/>
      <c r="P86" s="411"/>
      <c r="Q86" s="90"/>
      <c r="R86" s="10">
        <f>N86-B86</f>
        <v>0</v>
      </c>
      <c r="S86" s="10">
        <f>B87-B86</f>
        <v>0</v>
      </c>
      <c r="T86" s="10">
        <f>N87-N86</f>
        <v>0</v>
      </c>
      <c r="U86" s="10"/>
    </row>
    <row r="87" spans="1:21">
      <c r="A87" s="8">
        <f>A3</f>
        <v>0</v>
      </c>
      <c r="B87" s="11"/>
      <c r="C87" s="11"/>
      <c r="D87" s="11"/>
      <c r="E87" s="11"/>
      <c r="F87" s="11"/>
      <c r="G87" s="11"/>
      <c r="H87" s="11"/>
      <c r="I87" s="11"/>
      <c r="J87" s="11"/>
      <c r="K87" s="11"/>
      <c r="L87" s="11"/>
      <c r="M87" s="11"/>
      <c r="N87" s="11"/>
      <c r="O87" s="11"/>
      <c r="P87" s="11"/>
      <c r="Q87" s="90"/>
      <c r="R87" s="16">
        <f>N87-B87</f>
        <v>0</v>
      </c>
      <c r="S87" s="90"/>
      <c r="T87" s="90"/>
      <c r="U87" s="90"/>
    </row>
    <row r="88" spans="1:21">
      <c r="A88" s="8" t="str">
        <f>A3 &amp; " (IC min)"</f>
        <v xml:space="preserve"> (IC min)</v>
      </c>
      <c r="B88" s="11"/>
      <c r="C88" s="11"/>
      <c r="D88" s="11"/>
      <c r="E88" s="11"/>
      <c r="F88" s="11"/>
      <c r="G88" s="11"/>
      <c r="H88" s="11"/>
      <c r="I88" s="11"/>
      <c r="J88" s="11"/>
      <c r="K88" s="11"/>
      <c r="L88" s="11"/>
      <c r="M88" s="11"/>
      <c r="N88" s="11"/>
      <c r="O88" s="11"/>
      <c r="P88" s="11"/>
      <c r="Q88" s="90"/>
      <c r="R88" s="90"/>
      <c r="S88" s="90"/>
      <c r="T88" s="90"/>
      <c r="U88" s="90"/>
    </row>
    <row r="89" spans="1:21">
      <c r="A89" s="8" t="str">
        <f>A3&amp;" (IC max)"</f>
        <v xml:space="preserve"> (IC max)</v>
      </c>
      <c r="B89" s="11"/>
      <c r="C89" s="11"/>
      <c r="D89" s="11"/>
      <c r="E89" s="11"/>
      <c r="F89" s="11"/>
      <c r="G89" s="11"/>
      <c r="H89" s="11"/>
      <c r="I89" s="11"/>
      <c r="J89" s="11"/>
      <c r="K89" s="11"/>
      <c r="L89" s="11"/>
      <c r="M89" s="11"/>
      <c r="N89" s="11"/>
      <c r="O89" s="11"/>
      <c r="P89" s="11"/>
      <c r="Q89" s="90"/>
      <c r="R89" s="90"/>
      <c r="S89" s="90"/>
      <c r="T89" s="90"/>
      <c r="U89" s="90"/>
    </row>
    <row r="90" spans="1:21">
      <c r="A90" s="8" t="s">
        <v>175</v>
      </c>
      <c r="B90" s="109">
        <f>B87-B88</f>
        <v>0</v>
      </c>
      <c r="C90" s="109">
        <f t="shared" ref="C90:N90" si="11">C87-C88</f>
        <v>0</v>
      </c>
      <c r="D90" s="109">
        <f t="shared" si="11"/>
        <v>0</v>
      </c>
      <c r="E90" s="109">
        <f t="shared" si="11"/>
        <v>0</v>
      </c>
      <c r="F90" s="109">
        <f t="shared" si="11"/>
        <v>0</v>
      </c>
      <c r="G90" s="109">
        <f t="shared" si="11"/>
        <v>0</v>
      </c>
      <c r="H90" s="109">
        <f t="shared" si="11"/>
        <v>0</v>
      </c>
      <c r="I90" s="109">
        <f t="shared" si="11"/>
        <v>0</v>
      </c>
      <c r="J90" s="109">
        <f t="shared" si="11"/>
        <v>0</v>
      </c>
      <c r="K90" s="109">
        <f t="shared" si="11"/>
        <v>0</v>
      </c>
      <c r="L90" s="109">
        <f t="shared" si="11"/>
        <v>0</v>
      </c>
      <c r="M90" s="109">
        <f t="shared" si="11"/>
        <v>0</v>
      </c>
      <c r="N90" s="109">
        <f t="shared" si="11"/>
        <v>0</v>
      </c>
      <c r="O90" s="109">
        <f>O87-O88</f>
        <v>0</v>
      </c>
      <c r="P90" s="109">
        <f>P87-P88</f>
        <v>0</v>
      </c>
      <c r="Q90" s="12"/>
    </row>
    <row r="91" spans="1:21">
      <c r="A91" s="9" t="s">
        <v>63</v>
      </c>
      <c r="B91" s="72" t="s">
        <v>42</v>
      </c>
      <c r="C91" s="72" t="s">
        <v>43</v>
      </c>
      <c r="D91" s="72" t="s">
        <v>44</v>
      </c>
      <c r="E91" s="72" t="s">
        <v>45</v>
      </c>
      <c r="F91" s="72" t="s">
        <v>46</v>
      </c>
      <c r="G91" s="107" t="s">
        <v>20</v>
      </c>
      <c r="H91" s="107" t="s">
        <v>21</v>
      </c>
      <c r="I91" s="107" t="s">
        <v>22</v>
      </c>
      <c r="J91" s="107" t="s">
        <v>47</v>
      </c>
      <c r="K91" s="107" t="s">
        <v>48</v>
      </c>
      <c r="L91" s="107" t="s">
        <v>172</v>
      </c>
      <c r="M91" s="107" t="s">
        <v>129</v>
      </c>
      <c r="N91" s="107" t="s">
        <v>173</v>
      </c>
      <c r="O91" s="107" t="s">
        <v>212</v>
      </c>
      <c r="P91" s="107" t="s">
        <v>297</v>
      </c>
      <c r="Q91" s="70"/>
    </row>
    <row r="92" spans="1:21">
      <c r="A92" s="8" t="s">
        <v>16</v>
      </c>
      <c r="B92" s="10">
        <v>79.443923615595722</v>
      </c>
      <c r="C92" s="10">
        <v>79.693892792065768</v>
      </c>
      <c r="D92" s="10">
        <v>79.999141955163608</v>
      </c>
      <c r="E92" s="10">
        <v>80.418481546781095</v>
      </c>
      <c r="F92" s="10">
        <v>80.791862316458221</v>
      </c>
      <c r="G92" s="10">
        <v>80.914577714649738</v>
      </c>
      <c r="H92" s="10">
        <v>81.220585636122593</v>
      </c>
      <c r="I92" s="10">
        <v>81.420421666650441</v>
      </c>
      <c r="J92" s="10">
        <v>82.004085267982191</v>
      </c>
      <c r="K92" s="10">
        <v>82.244534380367867</v>
      </c>
      <c r="L92" s="10">
        <v>82.624994827090632</v>
      </c>
      <c r="M92" s="10">
        <v>82.731426705931</v>
      </c>
      <c r="N92" s="10">
        <v>82.940009905682018</v>
      </c>
      <c r="O92" s="10">
        <v>83.371656505874853</v>
      </c>
      <c r="P92" s="10">
        <v>83.655929725352806</v>
      </c>
      <c r="Q92" s="90"/>
      <c r="R92" s="10">
        <f>N92-B92</f>
        <v>3.4960862900862963</v>
      </c>
      <c r="S92" s="10">
        <f>B94-B92</f>
        <v>-79.443923615595722</v>
      </c>
      <c r="T92" s="10">
        <f>N94-N92</f>
        <v>-82.940009905682018</v>
      </c>
      <c r="U92" s="10"/>
    </row>
    <row r="93" spans="1:21">
      <c r="A93" s="8">
        <f>A2</f>
        <v>0</v>
      </c>
      <c r="B93" s="411"/>
      <c r="C93" s="411"/>
      <c r="D93" s="411"/>
      <c r="E93" s="411"/>
      <c r="F93" s="411"/>
      <c r="G93" s="411"/>
      <c r="H93" s="411"/>
      <c r="I93" s="411"/>
      <c r="J93" s="411"/>
      <c r="K93" s="411"/>
      <c r="L93" s="411"/>
      <c r="M93" s="411"/>
      <c r="N93" s="411"/>
      <c r="O93" s="411"/>
      <c r="P93" s="411"/>
      <c r="Q93" s="90"/>
      <c r="R93" s="10">
        <f>N93-B93</f>
        <v>0</v>
      </c>
      <c r="S93" s="10">
        <f>B94-B93</f>
        <v>0</v>
      </c>
      <c r="T93" s="10">
        <f>N94-N93</f>
        <v>0</v>
      </c>
      <c r="U93" s="10"/>
    </row>
    <row r="94" spans="1:21">
      <c r="A94" s="8">
        <f>A3</f>
        <v>0</v>
      </c>
      <c r="B94" s="11"/>
      <c r="C94" s="11"/>
      <c r="D94" s="11"/>
      <c r="E94" s="11"/>
      <c r="F94" s="11"/>
      <c r="G94" s="11"/>
      <c r="H94" s="11"/>
      <c r="I94" s="11"/>
      <c r="J94" s="11"/>
      <c r="K94" s="11"/>
      <c r="L94" s="11"/>
      <c r="M94" s="11"/>
      <c r="N94" s="11"/>
      <c r="O94" s="11"/>
      <c r="P94" s="11"/>
      <c r="Q94" s="90"/>
      <c r="R94" s="16">
        <f>N94-B94</f>
        <v>0</v>
      </c>
      <c r="S94" s="90"/>
      <c r="T94" s="90"/>
      <c r="U94" s="90"/>
    </row>
    <row r="95" spans="1:21">
      <c r="A95" s="8" t="str">
        <f>A3 &amp; " (IC min)"</f>
        <v xml:space="preserve"> (IC min)</v>
      </c>
      <c r="B95" s="11"/>
      <c r="C95" s="11"/>
      <c r="D95" s="11"/>
      <c r="E95" s="11"/>
      <c r="F95" s="11"/>
      <c r="G95" s="11"/>
      <c r="H95" s="11"/>
      <c r="I95" s="11"/>
      <c r="J95" s="11"/>
      <c r="K95" s="11"/>
      <c r="L95" s="11"/>
      <c r="M95" s="11"/>
      <c r="N95" s="11"/>
      <c r="O95" s="11"/>
      <c r="P95" s="11"/>
      <c r="Q95" s="90"/>
      <c r="R95" s="90"/>
      <c r="S95" s="90"/>
      <c r="T95" s="90"/>
      <c r="U95" s="90"/>
    </row>
    <row r="96" spans="1:21">
      <c r="A96" s="8" t="str">
        <f>A3&amp;" (IC max)"</f>
        <v xml:space="preserve"> (IC max)</v>
      </c>
      <c r="B96" s="11"/>
      <c r="C96" s="11"/>
      <c r="D96" s="11"/>
      <c r="E96" s="11"/>
      <c r="F96" s="11"/>
      <c r="G96" s="11"/>
      <c r="H96" s="11"/>
      <c r="I96" s="11"/>
      <c r="J96" s="11"/>
      <c r="K96" s="11"/>
      <c r="L96" s="11"/>
      <c r="M96" s="11"/>
      <c r="N96" s="11"/>
      <c r="O96" s="11"/>
      <c r="P96" s="11"/>
      <c r="Q96" s="90"/>
      <c r="R96" s="90"/>
      <c r="S96" s="90"/>
      <c r="T96" s="90"/>
      <c r="U96" s="90"/>
    </row>
    <row r="97" spans="1:121">
      <c r="A97" s="8" t="s">
        <v>175</v>
      </c>
      <c r="B97" s="109">
        <f>B94-B95</f>
        <v>0</v>
      </c>
      <c r="C97" s="109">
        <f t="shared" ref="C97:N97" si="12">C94-C95</f>
        <v>0</v>
      </c>
      <c r="D97" s="109">
        <f t="shared" si="12"/>
        <v>0</v>
      </c>
      <c r="E97" s="109">
        <f t="shared" si="12"/>
        <v>0</v>
      </c>
      <c r="F97" s="109">
        <f t="shared" si="12"/>
        <v>0</v>
      </c>
      <c r="G97" s="109">
        <f t="shared" si="12"/>
        <v>0</v>
      </c>
      <c r="H97" s="109">
        <f t="shared" si="12"/>
        <v>0</v>
      </c>
      <c r="I97" s="109">
        <f t="shared" si="12"/>
        <v>0</v>
      </c>
      <c r="J97" s="109">
        <f t="shared" si="12"/>
        <v>0</v>
      </c>
      <c r="K97" s="109">
        <f t="shared" si="12"/>
        <v>0</v>
      </c>
      <c r="L97" s="109">
        <f t="shared" si="12"/>
        <v>0</v>
      </c>
      <c r="M97" s="109">
        <f t="shared" si="12"/>
        <v>0</v>
      </c>
      <c r="N97" s="109">
        <f t="shared" si="12"/>
        <v>0</v>
      </c>
      <c r="O97" s="109">
        <f>O94-O95</f>
        <v>0</v>
      </c>
      <c r="P97" s="109">
        <f>P94-P95</f>
        <v>0</v>
      </c>
      <c r="Q97" s="12"/>
    </row>
    <row r="98" spans="1:121">
      <c r="B98" s="90"/>
      <c r="C98" s="70"/>
      <c r="D98" s="70"/>
      <c r="E98" s="70"/>
      <c r="H98" s="12"/>
      <c r="I98" s="12"/>
      <c r="J98" s="12"/>
      <c r="K98" s="12"/>
      <c r="L98" s="12"/>
      <c r="M98" s="12"/>
      <c r="N98" s="14"/>
      <c r="O98" s="14"/>
      <c r="P98" s="12"/>
      <c r="Q98" s="12"/>
    </row>
    <row r="99" spans="1:121">
      <c r="B99" s="10"/>
      <c r="C99" s="110"/>
    </row>
    <row r="100" spans="1:121">
      <c r="A100" s="227" t="str">
        <f>INDICE!C19</f>
        <v>COMO VIVEMOS?</v>
      </c>
    </row>
    <row r="102" spans="1:121">
      <c r="A102" s="8" t="str">
        <f>"EVULOÇÃO MENSAL DO NÚMERO DE DESEMPREGADOS INSCRITOS NO INSTITUTO DE EMPREGO E FORMAÇÃO PROFISSIONAL (IEFP) " &amp; C3 &amp; " " &amp; A3 &amp; " , POR GÉNERO (JAN-04 A JUN-13)"</f>
        <v>EVULOÇÃO MENSAL DO NÚMERO DE DESEMPREGADOS INSCRITOS NO INSTITUTO DE EMPREGO E FORMAÇÃO PROFISSIONAL (IEFP) NO  , POR GÉNERO (JAN-04 A JUN-13)</v>
      </c>
    </row>
    <row r="103" spans="1:121">
      <c r="B103" s="15">
        <v>37987</v>
      </c>
      <c r="C103" s="15">
        <v>38018</v>
      </c>
      <c r="D103" s="15">
        <v>38047</v>
      </c>
      <c r="E103" s="15">
        <v>38078</v>
      </c>
      <c r="F103" s="15">
        <v>38108</v>
      </c>
      <c r="G103" s="15">
        <v>38139</v>
      </c>
      <c r="H103" s="15">
        <v>38169</v>
      </c>
      <c r="I103" s="15">
        <v>38200</v>
      </c>
      <c r="J103" s="15">
        <v>38231</v>
      </c>
      <c r="K103" s="15">
        <v>38261</v>
      </c>
      <c r="L103" s="15">
        <v>38292</v>
      </c>
      <c r="M103" s="15">
        <v>38322</v>
      </c>
      <c r="N103" s="15">
        <v>38353</v>
      </c>
      <c r="O103" s="15">
        <v>38384</v>
      </c>
      <c r="P103" s="15">
        <v>38412</v>
      </c>
      <c r="Q103" s="15">
        <v>38443</v>
      </c>
      <c r="R103" s="15">
        <v>38473</v>
      </c>
      <c r="S103" s="15">
        <v>38504</v>
      </c>
      <c r="T103" s="15">
        <v>38534</v>
      </c>
      <c r="U103" s="15">
        <v>38565</v>
      </c>
      <c r="V103" s="15">
        <v>38596</v>
      </c>
      <c r="W103" s="15">
        <v>38626</v>
      </c>
      <c r="X103" s="15">
        <v>38657</v>
      </c>
      <c r="Y103" s="15">
        <v>38687</v>
      </c>
      <c r="Z103" s="15">
        <v>38718</v>
      </c>
      <c r="AA103" s="15">
        <v>38749</v>
      </c>
      <c r="AB103" s="15">
        <v>38777</v>
      </c>
      <c r="AC103" s="15">
        <v>38808</v>
      </c>
      <c r="AD103" s="15">
        <v>38838</v>
      </c>
      <c r="AE103" s="15">
        <v>38869</v>
      </c>
      <c r="AF103" s="15">
        <v>38899</v>
      </c>
      <c r="AG103" s="15">
        <v>38930</v>
      </c>
      <c r="AH103" s="15">
        <v>38961</v>
      </c>
      <c r="AI103" s="15">
        <v>38991</v>
      </c>
      <c r="AJ103" s="15">
        <v>39022</v>
      </c>
      <c r="AK103" s="15">
        <v>39052</v>
      </c>
      <c r="AL103" s="15">
        <v>39083</v>
      </c>
      <c r="AM103" s="15">
        <v>39114</v>
      </c>
      <c r="AN103" s="15">
        <v>39142</v>
      </c>
      <c r="AO103" s="15">
        <v>39173</v>
      </c>
      <c r="AP103" s="15">
        <v>39203</v>
      </c>
      <c r="AQ103" s="15">
        <v>39234</v>
      </c>
      <c r="AR103" s="15">
        <v>39264</v>
      </c>
      <c r="AS103" s="15">
        <v>39295</v>
      </c>
      <c r="AT103" s="15">
        <v>39326</v>
      </c>
      <c r="AU103" s="15">
        <v>39356</v>
      </c>
      <c r="AV103" s="15">
        <v>39387</v>
      </c>
      <c r="AW103" s="15">
        <v>39417</v>
      </c>
      <c r="AX103" s="15">
        <v>39448</v>
      </c>
      <c r="AY103" s="15">
        <v>39479</v>
      </c>
      <c r="AZ103" s="15">
        <v>39508</v>
      </c>
      <c r="BA103" s="15">
        <v>39539</v>
      </c>
      <c r="BB103" s="15">
        <v>39569</v>
      </c>
      <c r="BC103" s="15">
        <v>39600</v>
      </c>
      <c r="BD103" s="15">
        <v>39630</v>
      </c>
      <c r="BE103" s="15">
        <v>39661</v>
      </c>
      <c r="BF103" s="15">
        <v>39692</v>
      </c>
      <c r="BG103" s="15">
        <v>39722</v>
      </c>
      <c r="BH103" s="15">
        <v>39753</v>
      </c>
      <c r="BI103" s="15">
        <v>39783</v>
      </c>
      <c r="BJ103" s="15">
        <v>39814</v>
      </c>
      <c r="BK103" s="15">
        <v>39845</v>
      </c>
      <c r="BL103" s="15">
        <v>39873</v>
      </c>
      <c r="BM103" s="15">
        <v>39904</v>
      </c>
      <c r="BN103" s="15">
        <v>39934</v>
      </c>
      <c r="BO103" s="15">
        <v>39965</v>
      </c>
      <c r="BP103" s="15">
        <v>39995</v>
      </c>
      <c r="BQ103" s="15">
        <v>40026</v>
      </c>
      <c r="BR103" s="15">
        <v>40057</v>
      </c>
      <c r="BS103" s="15">
        <v>40087</v>
      </c>
      <c r="BT103" s="15">
        <v>40118</v>
      </c>
      <c r="BU103" s="15">
        <v>40148</v>
      </c>
      <c r="BV103" s="15">
        <v>40179</v>
      </c>
      <c r="BW103" s="15">
        <v>40210</v>
      </c>
      <c r="BX103" s="15">
        <v>40238</v>
      </c>
      <c r="BY103" s="15">
        <v>40269</v>
      </c>
      <c r="BZ103" s="15">
        <v>40299</v>
      </c>
      <c r="CA103" s="15">
        <v>40330</v>
      </c>
      <c r="CB103" s="15">
        <v>40360</v>
      </c>
      <c r="CC103" s="15">
        <v>40391</v>
      </c>
      <c r="CD103" s="15">
        <v>40422</v>
      </c>
      <c r="CE103" s="15">
        <v>40452</v>
      </c>
      <c r="CF103" s="15">
        <v>40483</v>
      </c>
      <c r="CG103" s="15">
        <v>40513</v>
      </c>
      <c r="CH103" s="15">
        <v>40544</v>
      </c>
      <c r="CI103" s="15">
        <v>40575</v>
      </c>
      <c r="CJ103" s="15">
        <v>40603</v>
      </c>
      <c r="CK103" s="15">
        <v>40634</v>
      </c>
      <c r="CL103" s="15">
        <v>40664</v>
      </c>
      <c r="CM103" s="15">
        <v>40695</v>
      </c>
      <c r="CN103" s="15">
        <v>40725</v>
      </c>
      <c r="CO103" s="15">
        <v>40756</v>
      </c>
      <c r="CP103" s="15">
        <v>40787</v>
      </c>
      <c r="CQ103" s="15">
        <v>40817</v>
      </c>
      <c r="CR103" s="15">
        <v>40848</v>
      </c>
      <c r="CS103" s="15">
        <v>40878</v>
      </c>
      <c r="CT103" s="15">
        <v>40909</v>
      </c>
      <c r="CU103" s="15">
        <v>40940</v>
      </c>
      <c r="CV103" s="15">
        <v>40969</v>
      </c>
      <c r="CW103" s="15">
        <v>41000</v>
      </c>
      <c r="CX103" s="15">
        <v>41030</v>
      </c>
      <c r="CY103" s="15">
        <v>41061</v>
      </c>
      <c r="CZ103" s="15">
        <v>41091</v>
      </c>
      <c r="DA103" s="15">
        <v>41122</v>
      </c>
      <c r="DB103" s="15">
        <v>41153</v>
      </c>
      <c r="DC103" s="15">
        <v>41183</v>
      </c>
      <c r="DD103" s="15">
        <v>41214</v>
      </c>
      <c r="DE103" s="15">
        <v>41244</v>
      </c>
      <c r="DF103" s="15">
        <v>41275</v>
      </c>
      <c r="DG103" s="15">
        <v>41306</v>
      </c>
      <c r="DH103" s="15">
        <v>41334</v>
      </c>
      <c r="DI103" s="15">
        <v>41365</v>
      </c>
      <c r="DJ103" s="15">
        <v>41395</v>
      </c>
      <c r="DK103" s="15">
        <v>41426</v>
      </c>
      <c r="DL103" s="15">
        <v>41456</v>
      </c>
      <c r="DM103" s="15">
        <v>41487</v>
      </c>
      <c r="DN103" s="15">
        <v>41518</v>
      </c>
      <c r="DO103" s="15">
        <v>41548</v>
      </c>
      <c r="DP103" s="15">
        <v>41579</v>
      </c>
      <c r="DQ103" s="15">
        <v>41609</v>
      </c>
    </row>
    <row r="104" spans="1:121">
      <c r="A104" s="8" t="s">
        <v>16</v>
      </c>
      <c r="B104" s="70">
        <v>454397</v>
      </c>
      <c r="C104" s="70">
        <v>457864</v>
      </c>
      <c r="D104" s="70">
        <v>461070</v>
      </c>
      <c r="E104" s="70">
        <v>452216</v>
      </c>
      <c r="F104" s="70">
        <v>442811</v>
      </c>
      <c r="G104" s="70">
        <v>435489</v>
      </c>
      <c r="H104" s="70">
        <v>436773</v>
      </c>
      <c r="I104" s="70">
        <v>440364</v>
      </c>
      <c r="J104" s="70">
        <v>457075</v>
      </c>
      <c r="K104" s="70">
        <v>457477</v>
      </c>
      <c r="L104" s="70">
        <v>460454</v>
      </c>
      <c r="M104" s="70">
        <v>457864</v>
      </c>
      <c r="N104" s="70">
        <v>471639</v>
      </c>
      <c r="O104" s="70">
        <v>475602</v>
      </c>
      <c r="P104" s="70">
        <v>472771</v>
      </c>
      <c r="Q104" s="70">
        <v>467166</v>
      </c>
      <c r="R104" s="70">
        <v>459194</v>
      </c>
      <c r="S104" s="70">
        <v>453207</v>
      </c>
      <c r="T104" s="70">
        <v>450215</v>
      </c>
      <c r="U104" s="70">
        <v>454662</v>
      </c>
      <c r="V104" s="70">
        <v>472114</v>
      </c>
      <c r="W104" s="70">
        <v>473813</v>
      </c>
      <c r="X104" s="70">
        <v>474862</v>
      </c>
      <c r="Y104" s="70">
        <v>468115</v>
      </c>
      <c r="Z104" s="70">
        <v>479552</v>
      </c>
      <c r="AA104" s="70">
        <v>476229</v>
      </c>
      <c r="AB104" s="70">
        <v>468470</v>
      </c>
      <c r="AC104" s="70">
        <v>457958</v>
      </c>
      <c r="AD104" s="70">
        <v>445949</v>
      </c>
      <c r="AE104" s="70">
        <v>431621</v>
      </c>
      <c r="AF104" s="70">
        <v>426340</v>
      </c>
      <c r="AG104" s="70">
        <v>426127</v>
      </c>
      <c r="AH104" s="70">
        <v>437246</v>
      </c>
      <c r="AI104" s="70">
        <v>440807</v>
      </c>
      <c r="AJ104" s="70">
        <v>445308</v>
      </c>
      <c r="AK104" s="70">
        <v>440125</v>
      </c>
      <c r="AL104" s="70">
        <v>444390</v>
      </c>
      <c r="AM104" s="70">
        <v>438073</v>
      </c>
      <c r="AN104" s="70">
        <v>428997</v>
      </c>
      <c r="AO104" s="70">
        <v>408401</v>
      </c>
      <c r="AP104" s="70">
        <v>385341</v>
      </c>
      <c r="AQ104" s="70">
        <v>376672</v>
      </c>
      <c r="AR104" s="70">
        <v>377806</v>
      </c>
      <c r="AS104" s="70">
        <v>380362</v>
      </c>
      <c r="AT104" s="70">
        <v>385918</v>
      </c>
      <c r="AU104" s="70">
        <v>386505</v>
      </c>
      <c r="AV104" s="70">
        <v>384562</v>
      </c>
      <c r="AW104" s="70">
        <v>377436</v>
      </c>
      <c r="AX104" s="70">
        <v>386377</v>
      </c>
      <c r="AY104" s="70">
        <v>385528</v>
      </c>
      <c r="AZ104" s="70">
        <v>378279</v>
      </c>
      <c r="BA104" s="70">
        <v>373812</v>
      </c>
      <c r="BB104" s="70">
        <v>371129</v>
      </c>
      <c r="BC104" s="70">
        <v>370849</v>
      </c>
      <c r="BD104" s="70">
        <v>370556</v>
      </c>
      <c r="BE104" s="70">
        <v>378750</v>
      </c>
      <c r="BF104" s="70">
        <v>383934</v>
      </c>
      <c r="BG104" s="70">
        <v>388658</v>
      </c>
      <c r="BH104" s="70">
        <v>395926</v>
      </c>
      <c r="BI104" s="70">
        <v>402545</v>
      </c>
      <c r="BJ104" s="70">
        <v>433149</v>
      </c>
      <c r="BK104" s="70">
        <v>453582</v>
      </c>
      <c r="BL104" s="70">
        <v>467559</v>
      </c>
      <c r="BM104" s="70">
        <v>474960</v>
      </c>
      <c r="BN104" s="70">
        <v>472356</v>
      </c>
      <c r="BO104" s="70">
        <v>472873</v>
      </c>
      <c r="BP104" s="70">
        <v>479922</v>
      </c>
      <c r="BQ104" s="70">
        <v>484932</v>
      </c>
      <c r="BR104" s="70">
        <v>492987</v>
      </c>
      <c r="BS104" s="70">
        <v>499283</v>
      </c>
      <c r="BT104" s="70">
        <v>504264</v>
      </c>
      <c r="BU104" s="70">
        <v>504775</v>
      </c>
      <c r="BV104" s="70">
        <v>539130</v>
      </c>
      <c r="BW104" s="70">
        <v>539733</v>
      </c>
      <c r="BX104" s="70">
        <v>550214</v>
      </c>
      <c r="BY104" s="70">
        <v>549676</v>
      </c>
      <c r="BZ104" s="70">
        <v>539957</v>
      </c>
      <c r="CA104" s="70">
        <v>531348</v>
      </c>
      <c r="CB104" s="70">
        <v>527809</v>
      </c>
      <c r="CC104" s="70">
        <v>529568</v>
      </c>
      <c r="CD104" s="70">
        <v>534990</v>
      </c>
      <c r="CE104" s="70">
        <v>529337</v>
      </c>
      <c r="CF104" s="70">
        <v>525154</v>
      </c>
      <c r="CG104" s="70">
        <v>519888</v>
      </c>
      <c r="CH104" s="70">
        <v>533980</v>
      </c>
      <c r="CI104" s="70">
        <v>531266</v>
      </c>
      <c r="CJ104" s="70">
        <v>527071</v>
      </c>
      <c r="CK104" s="70">
        <v>517103</v>
      </c>
      <c r="CL104" s="70">
        <v>506003</v>
      </c>
      <c r="CM104" s="70">
        <v>494326</v>
      </c>
      <c r="CN104" s="70">
        <v>499908</v>
      </c>
      <c r="CO104" s="70">
        <v>508946</v>
      </c>
      <c r="CP104" s="70">
        <v>529210</v>
      </c>
      <c r="CQ104" s="70">
        <v>541153</v>
      </c>
      <c r="CR104" s="70">
        <v>555788</v>
      </c>
      <c r="CS104" s="70">
        <v>576383</v>
      </c>
      <c r="CT104" s="70">
        <v>607044</v>
      </c>
      <c r="CU104" s="70">
        <v>616212</v>
      </c>
      <c r="CV104" s="70">
        <v>628908</v>
      </c>
      <c r="CW104" s="70">
        <v>623395</v>
      </c>
      <c r="CX104" s="70">
        <v>609273</v>
      </c>
      <c r="CY104" s="70">
        <v>614282</v>
      </c>
      <c r="CZ104" s="70">
        <v>622997</v>
      </c>
      <c r="DA104" s="70">
        <v>641218</v>
      </c>
      <c r="DB104" s="70">
        <v>650827</v>
      </c>
      <c r="DC104" s="70">
        <v>660780</v>
      </c>
      <c r="DD104" s="70">
        <v>662937</v>
      </c>
      <c r="DE104" s="70">
        <v>675466</v>
      </c>
      <c r="DF104" s="70">
        <v>703030</v>
      </c>
      <c r="DG104" s="70">
        <v>701959</v>
      </c>
      <c r="DH104" s="70">
        <v>696897</v>
      </c>
      <c r="DI104" s="70">
        <v>691128</v>
      </c>
      <c r="DJ104" s="70">
        <v>666445</v>
      </c>
      <c r="DK104" s="70">
        <v>653967</v>
      </c>
      <c r="DL104" s="70">
        <v>653601</v>
      </c>
      <c r="DM104" s="70">
        <v>660975</v>
      </c>
      <c r="DN104" s="70">
        <v>662812</v>
      </c>
      <c r="DO104" s="70">
        <v>659121</v>
      </c>
      <c r="DP104" s="70">
        <v>656093</v>
      </c>
      <c r="DQ104" s="70">
        <v>654569</v>
      </c>
    </row>
    <row r="105" spans="1:121">
      <c r="A105" s="8">
        <f>A2</f>
        <v>0</v>
      </c>
      <c r="B105" s="410"/>
      <c r="C105" s="410"/>
      <c r="D105" s="410"/>
      <c r="E105" s="410"/>
      <c r="F105" s="410"/>
      <c r="G105" s="410"/>
      <c r="H105" s="410"/>
      <c r="I105" s="410"/>
      <c r="J105" s="410"/>
      <c r="K105" s="410"/>
      <c r="L105" s="410"/>
      <c r="M105" s="410"/>
      <c r="N105" s="410"/>
      <c r="O105" s="410"/>
      <c r="P105" s="410"/>
      <c r="Q105" s="410"/>
      <c r="R105" s="410"/>
      <c r="S105" s="410"/>
      <c r="T105" s="410"/>
      <c r="U105" s="410"/>
      <c r="V105" s="410"/>
      <c r="W105" s="410"/>
      <c r="X105" s="410"/>
      <c r="Y105" s="410"/>
      <c r="Z105" s="410"/>
      <c r="AA105" s="410"/>
      <c r="AB105" s="410"/>
      <c r="AC105" s="410"/>
      <c r="AD105" s="410"/>
      <c r="AE105" s="410"/>
      <c r="AF105" s="410"/>
      <c r="AG105" s="410"/>
      <c r="AH105" s="410"/>
      <c r="AI105" s="410"/>
      <c r="AJ105" s="410"/>
      <c r="AK105" s="410"/>
      <c r="AL105" s="410"/>
      <c r="AM105" s="410"/>
      <c r="AN105" s="410"/>
      <c r="AO105" s="410"/>
      <c r="AP105" s="410"/>
      <c r="AQ105" s="410"/>
      <c r="AR105" s="410"/>
      <c r="AS105" s="410"/>
      <c r="AT105" s="410"/>
      <c r="AU105" s="410"/>
      <c r="AV105" s="410"/>
      <c r="AW105" s="410"/>
      <c r="AX105" s="410"/>
      <c r="AY105" s="410"/>
      <c r="AZ105" s="410"/>
      <c r="BA105" s="410"/>
      <c r="BB105" s="410"/>
      <c r="BC105" s="410"/>
      <c r="BD105" s="410"/>
      <c r="BE105" s="410"/>
      <c r="BF105" s="410"/>
      <c r="BG105" s="410"/>
      <c r="BH105" s="410"/>
      <c r="BI105" s="410"/>
      <c r="BJ105" s="410"/>
      <c r="BK105" s="410"/>
      <c r="BL105" s="410"/>
      <c r="BM105" s="410"/>
      <c r="BN105" s="410"/>
      <c r="BO105" s="410"/>
      <c r="BP105" s="410"/>
      <c r="BQ105" s="410"/>
      <c r="BR105" s="410"/>
      <c r="BS105" s="410"/>
      <c r="BT105" s="410"/>
      <c r="BU105" s="410"/>
      <c r="BV105" s="410"/>
      <c r="BW105" s="410"/>
      <c r="BX105" s="410"/>
      <c r="BY105" s="410"/>
      <c r="BZ105" s="410"/>
      <c r="CA105" s="410"/>
      <c r="CB105" s="410"/>
      <c r="CC105" s="410"/>
      <c r="CD105" s="410"/>
      <c r="CE105" s="410"/>
      <c r="CF105" s="410"/>
      <c r="CG105" s="410"/>
      <c r="CH105" s="410"/>
      <c r="CI105" s="410"/>
      <c r="CJ105" s="410"/>
      <c r="CK105" s="410"/>
      <c r="CL105" s="410"/>
      <c r="CM105" s="410"/>
      <c r="CN105" s="410"/>
      <c r="CO105" s="410"/>
      <c r="CP105" s="410"/>
      <c r="CQ105" s="410"/>
      <c r="CR105" s="410"/>
      <c r="CS105" s="410"/>
      <c r="CT105" s="410"/>
      <c r="CU105" s="410"/>
      <c r="CV105" s="410"/>
      <c r="CW105" s="410"/>
      <c r="CX105" s="410"/>
      <c r="CY105" s="410"/>
      <c r="CZ105" s="410"/>
      <c r="DA105" s="410"/>
      <c r="DB105" s="410"/>
      <c r="DC105" s="410"/>
      <c r="DD105" s="410"/>
      <c r="DE105" s="410"/>
      <c r="DF105" s="410"/>
      <c r="DG105" s="410"/>
      <c r="DH105" s="410"/>
      <c r="DI105" s="410"/>
      <c r="DJ105" s="410"/>
      <c r="DK105" s="410"/>
      <c r="DL105" s="410"/>
      <c r="DM105" s="410"/>
      <c r="DN105" s="410"/>
      <c r="DO105" s="410"/>
      <c r="DP105" s="410"/>
      <c r="DQ105" s="410"/>
    </row>
    <row r="106" spans="1:121">
      <c r="A106" s="8">
        <f>A3</f>
        <v>0</v>
      </c>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row>
    <row r="107" spans="1:121">
      <c r="A107" s="8" t="s">
        <v>62</v>
      </c>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row>
    <row r="108" spans="1:121">
      <c r="A108" s="8" t="s">
        <v>63</v>
      </c>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row>
    <row r="109" spans="1:121">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c r="BM109" s="70"/>
      <c r="BN109" s="70"/>
      <c r="BO109" s="70"/>
      <c r="BP109" s="70"/>
      <c r="BQ109" s="70"/>
      <c r="BR109" s="70"/>
      <c r="BS109" s="70"/>
      <c r="BT109" s="70"/>
      <c r="BU109" s="70"/>
      <c r="BV109" s="70"/>
      <c r="BW109" s="70"/>
      <c r="BX109" s="70"/>
      <c r="BY109" s="70"/>
      <c r="BZ109" s="70"/>
      <c r="CA109" s="70"/>
      <c r="CB109" s="70"/>
      <c r="CC109" s="70"/>
      <c r="CD109" s="70"/>
      <c r="CE109" s="70"/>
      <c r="CF109" s="70"/>
      <c r="CG109" s="70"/>
      <c r="CH109" s="70"/>
      <c r="CI109" s="70"/>
      <c r="CJ109" s="70"/>
      <c r="CK109" s="70"/>
      <c r="CL109" s="70"/>
      <c r="CM109" s="70"/>
      <c r="CN109" s="70"/>
      <c r="CO109" s="70"/>
      <c r="CP109" s="70"/>
      <c r="CQ109" s="70"/>
      <c r="CR109" s="70"/>
      <c r="CS109" s="70"/>
      <c r="CT109" s="70"/>
      <c r="CU109" s="70"/>
      <c r="CV109" s="70"/>
      <c r="CW109" s="70"/>
      <c r="CX109" s="70"/>
      <c r="CY109" s="70"/>
      <c r="CZ109" s="70"/>
      <c r="DA109" s="70"/>
      <c r="DB109" s="70"/>
      <c r="DC109" s="70"/>
      <c r="DD109" s="70"/>
      <c r="DE109" s="70"/>
      <c r="DF109" s="70"/>
      <c r="DG109" s="70"/>
      <c r="DH109" s="70"/>
      <c r="DI109" s="70"/>
      <c r="DJ109" s="70"/>
      <c r="DK109" s="70"/>
    </row>
    <row r="110" spans="1:121">
      <c r="A110" s="8" t="s">
        <v>301</v>
      </c>
    </row>
    <row r="111" spans="1:121">
      <c r="B111" s="15">
        <v>38353</v>
      </c>
      <c r="C111" s="15">
        <v>38384</v>
      </c>
      <c r="D111" s="15">
        <v>38412</v>
      </c>
      <c r="E111" s="15">
        <v>38443</v>
      </c>
      <c r="F111" s="15">
        <v>38473</v>
      </c>
      <c r="G111" s="15">
        <v>38504</v>
      </c>
      <c r="H111" s="15">
        <v>38534</v>
      </c>
      <c r="I111" s="15">
        <v>38565</v>
      </c>
      <c r="J111" s="15">
        <v>38596</v>
      </c>
      <c r="K111" s="15">
        <v>38626</v>
      </c>
      <c r="L111" s="15">
        <v>38657</v>
      </c>
      <c r="M111" s="15">
        <v>38687</v>
      </c>
      <c r="N111" s="15">
        <v>38718</v>
      </c>
      <c r="O111" s="15">
        <v>38749</v>
      </c>
      <c r="P111" s="15">
        <v>38777</v>
      </c>
      <c r="Q111" s="15">
        <v>38808</v>
      </c>
      <c r="R111" s="15">
        <v>38838</v>
      </c>
      <c r="S111" s="15">
        <v>38869</v>
      </c>
      <c r="T111" s="15">
        <v>38899</v>
      </c>
      <c r="U111" s="15">
        <v>38930</v>
      </c>
      <c r="V111" s="15">
        <v>38961</v>
      </c>
      <c r="W111" s="15">
        <v>38991</v>
      </c>
      <c r="X111" s="15">
        <v>39022</v>
      </c>
      <c r="Y111" s="15">
        <v>39052</v>
      </c>
      <c r="Z111" s="15">
        <v>39083</v>
      </c>
      <c r="AA111" s="15">
        <v>39114</v>
      </c>
      <c r="AB111" s="15">
        <v>39142</v>
      </c>
      <c r="AC111" s="15">
        <v>39173</v>
      </c>
      <c r="AD111" s="15">
        <v>39203</v>
      </c>
      <c r="AE111" s="15">
        <v>39234</v>
      </c>
      <c r="AF111" s="15">
        <v>39264</v>
      </c>
      <c r="AG111" s="15">
        <v>39295</v>
      </c>
      <c r="AH111" s="15">
        <v>39326</v>
      </c>
      <c r="AI111" s="15">
        <v>39356</v>
      </c>
      <c r="AJ111" s="15">
        <v>39387</v>
      </c>
      <c r="AK111" s="15">
        <v>39417</v>
      </c>
      <c r="AL111" s="15">
        <v>39448</v>
      </c>
      <c r="AM111" s="15">
        <v>39479</v>
      </c>
      <c r="AN111" s="15">
        <v>39508</v>
      </c>
      <c r="AO111" s="15">
        <v>39539</v>
      </c>
      <c r="AP111" s="15">
        <v>39569</v>
      </c>
      <c r="AQ111" s="15">
        <v>39600</v>
      </c>
      <c r="AR111" s="15">
        <v>39630</v>
      </c>
      <c r="AS111" s="15">
        <v>39661</v>
      </c>
      <c r="AT111" s="15">
        <v>39692</v>
      </c>
      <c r="AU111" s="15">
        <v>39722</v>
      </c>
      <c r="AV111" s="15">
        <v>39753</v>
      </c>
      <c r="AW111" s="15">
        <v>39783</v>
      </c>
      <c r="AX111" s="15">
        <v>39814</v>
      </c>
      <c r="AY111" s="15">
        <v>39845</v>
      </c>
      <c r="AZ111" s="15">
        <v>39873</v>
      </c>
      <c r="BA111" s="15">
        <v>39904</v>
      </c>
      <c r="BB111" s="15">
        <v>39934</v>
      </c>
      <c r="BC111" s="15">
        <v>39965</v>
      </c>
      <c r="BD111" s="15">
        <v>39995</v>
      </c>
      <c r="BE111" s="15">
        <v>40026</v>
      </c>
      <c r="BF111" s="15">
        <v>40057</v>
      </c>
      <c r="BG111" s="15">
        <v>40087</v>
      </c>
      <c r="BH111" s="15">
        <v>40118</v>
      </c>
      <c r="BI111" s="15">
        <v>40148</v>
      </c>
      <c r="BJ111" s="15">
        <v>40179</v>
      </c>
      <c r="BK111" s="15">
        <v>40210</v>
      </c>
      <c r="BL111" s="15">
        <v>40238</v>
      </c>
      <c r="BM111" s="15">
        <v>40269</v>
      </c>
      <c r="BN111" s="15">
        <v>40299</v>
      </c>
      <c r="BO111" s="15">
        <v>40330</v>
      </c>
      <c r="BP111" s="15">
        <v>40360</v>
      </c>
      <c r="BQ111" s="15">
        <v>40391</v>
      </c>
      <c r="BR111" s="15">
        <v>40422</v>
      </c>
      <c r="BS111" s="15">
        <v>40452</v>
      </c>
      <c r="BT111" s="15">
        <v>40483</v>
      </c>
      <c r="BU111" s="15">
        <v>40513</v>
      </c>
      <c r="BV111" s="15">
        <v>40544</v>
      </c>
      <c r="BW111" s="15">
        <v>40575</v>
      </c>
      <c r="BX111" s="15">
        <v>40603</v>
      </c>
      <c r="BY111" s="15">
        <v>40634</v>
      </c>
      <c r="BZ111" s="15">
        <v>40664</v>
      </c>
      <c r="CA111" s="15">
        <v>40695</v>
      </c>
      <c r="CB111" s="15">
        <v>40725</v>
      </c>
      <c r="CC111" s="15">
        <v>40756</v>
      </c>
      <c r="CD111" s="15">
        <v>40787</v>
      </c>
      <c r="CE111" s="15">
        <v>40817</v>
      </c>
      <c r="CF111" s="15">
        <v>40848</v>
      </c>
      <c r="CG111" s="15">
        <v>40878</v>
      </c>
      <c r="CH111" s="15">
        <v>40909</v>
      </c>
      <c r="CI111" s="15">
        <v>40940</v>
      </c>
      <c r="CJ111" s="15">
        <v>40969</v>
      </c>
      <c r="CK111" s="15">
        <v>41000</v>
      </c>
      <c r="CL111" s="15">
        <v>41030</v>
      </c>
      <c r="CM111" s="15">
        <v>41061</v>
      </c>
      <c r="CN111" s="15">
        <v>41091</v>
      </c>
      <c r="CO111" s="15">
        <v>41122</v>
      </c>
      <c r="CP111" s="15">
        <v>41153</v>
      </c>
      <c r="CQ111" s="15">
        <v>41183</v>
      </c>
      <c r="CR111" s="15">
        <v>41214</v>
      </c>
      <c r="CS111" s="15">
        <v>41244</v>
      </c>
      <c r="CT111" s="15">
        <v>41275</v>
      </c>
      <c r="CU111" s="15">
        <v>41306</v>
      </c>
      <c r="CV111" s="15">
        <v>41334</v>
      </c>
      <c r="CW111" s="15">
        <v>41365</v>
      </c>
      <c r="CX111" s="15">
        <v>41395</v>
      </c>
      <c r="CY111" s="15">
        <v>41426</v>
      </c>
      <c r="CZ111" s="15">
        <v>41456</v>
      </c>
      <c r="DA111" s="15">
        <v>41487</v>
      </c>
      <c r="DB111" s="15">
        <v>41518</v>
      </c>
      <c r="DC111" s="15">
        <v>41548</v>
      </c>
      <c r="DD111" s="15">
        <v>41579</v>
      </c>
      <c r="DE111" s="15">
        <v>41609</v>
      </c>
    </row>
    <row r="112" spans="1:121">
      <c r="A112" s="8" t="s">
        <v>16</v>
      </c>
      <c r="B112" s="90">
        <v>3.7944792769318463</v>
      </c>
      <c r="C112" s="90">
        <v>3.8740761448814496</v>
      </c>
      <c r="D112" s="90">
        <v>2.5377925260806387</v>
      </c>
      <c r="E112" s="90">
        <v>3.3059422930634916</v>
      </c>
      <c r="F112" s="90">
        <v>3.6997725892084885</v>
      </c>
      <c r="G112" s="90">
        <v>4.0685298595372101</v>
      </c>
      <c r="H112" s="90">
        <v>3.0775711868636568</v>
      </c>
      <c r="I112" s="90">
        <v>3.24685941630106</v>
      </c>
      <c r="J112" s="90">
        <v>3.2902696494010826</v>
      </c>
      <c r="K112" s="90">
        <v>3.5708899026617731</v>
      </c>
      <c r="L112" s="90">
        <v>3.1290856415624582</v>
      </c>
      <c r="M112" s="90">
        <v>2.2388744255936261</v>
      </c>
      <c r="N112" s="90">
        <v>1.6777662576674111</v>
      </c>
      <c r="O112" s="90">
        <v>0.13183291912145029</v>
      </c>
      <c r="P112" s="90">
        <v>-0.90974277187052499</v>
      </c>
      <c r="Q112" s="90">
        <v>-1.9710338509223702</v>
      </c>
      <c r="R112" s="90">
        <v>-2.8844017996750826</v>
      </c>
      <c r="S112" s="90">
        <v>-4.762944967752043</v>
      </c>
      <c r="T112" s="90">
        <v>-5.3030218895416636</v>
      </c>
      <c r="U112" s="90">
        <v>-6.2760908103162345</v>
      </c>
      <c r="V112" s="90">
        <v>-7.3855043485259912</v>
      </c>
      <c r="W112" s="90">
        <v>-6.9660393446359645</v>
      </c>
      <c r="X112" s="90">
        <v>-6.2237028863122337</v>
      </c>
      <c r="Y112" s="90">
        <v>-5.9792999583435691</v>
      </c>
      <c r="Z112" s="90">
        <v>-7.3322601094354738</v>
      </c>
      <c r="AA112" s="90">
        <v>-8.0121118201537502</v>
      </c>
      <c r="AB112" s="90">
        <v>-8.4259397613507794</v>
      </c>
      <c r="AC112" s="90">
        <v>-10.821298022962804</v>
      </c>
      <c r="AD112" s="90">
        <v>-13.590791772153318</v>
      </c>
      <c r="AE112" s="90">
        <v>-12.730844884748423</v>
      </c>
      <c r="AF112" s="90">
        <v>-11.383872027020688</v>
      </c>
      <c r="AG112" s="90">
        <v>-10.739755988238247</v>
      </c>
      <c r="AH112" s="90">
        <v>-11.738929572826279</v>
      </c>
      <c r="AI112" s="90">
        <v>-12.318769892492632</v>
      </c>
      <c r="AJ112" s="90">
        <v>-13.64134486692357</v>
      </c>
      <c r="AK112" s="90">
        <v>-14.243453564328314</v>
      </c>
      <c r="AL112" s="90">
        <v>-13.054524179211954</v>
      </c>
      <c r="AM112" s="90">
        <v>-11.994576246424684</v>
      </c>
      <c r="AN112" s="90">
        <v>-11.822460296925154</v>
      </c>
      <c r="AO112" s="90">
        <v>-8.469372014270288</v>
      </c>
      <c r="AP112" s="90">
        <v>-3.6881619137335502</v>
      </c>
      <c r="AQ112" s="90">
        <v>-1.5459073145866962</v>
      </c>
      <c r="AR112" s="90">
        <v>-1.9189742883913965</v>
      </c>
      <c r="AS112" s="90">
        <v>-0.42380679457990023</v>
      </c>
      <c r="AT112" s="90">
        <v>-0.51409885001477007</v>
      </c>
      <c r="AU112" s="90">
        <v>0.55704324652979909</v>
      </c>
      <c r="AV112" s="90">
        <v>2.9550501609623412</v>
      </c>
      <c r="AW112" s="90">
        <v>6.6525185726851701</v>
      </c>
      <c r="AX112" s="90">
        <v>12.105275417532617</v>
      </c>
      <c r="AY112" s="90">
        <v>17.652154966695026</v>
      </c>
      <c r="AZ112" s="90">
        <v>23.601627370274322</v>
      </c>
      <c r="BA112" s="90">
        <v>27.058521395781838</v>
      </c>
      <c r="BB112" s="90">
        <v>27.275421753622055</v>
      </c>
      <c r="BC112" s="90">
        <v>27.510927628226046</v>
      </c>
      <c r="BD112" s="90">
        <v>29.514027569382222</v>
      </c>
      <c r="BE112" s="90">
        <v>28.034851485148515</v>
      </c>
      <c r="BF112" s="90">
        <v>28.404100704808638</v>
      </c>
      <c r="BG112" s="90">
        <v>28.463327655676711</v>
      </c>
      <c r="BH112" s="90">
        <v>27.363194132236835</v>
      </c>
      <c r="BI112" s="90">
        <v>25.395918468742622</v>
      </c>
      <c r="BJ112" s="90">
        <v>24.467561970592104</v>
      </c>
      <c r="BK112" s="90">
        <v>18.993478577192217</v>
      </c>
      <c r="BL112" s="90">
        <v>17.677982885582356</v>
      </c>
      <c r="BM112" s="90">
        <v>15.731008927067542</v>
      </c>
      <c r="BN112" s="90">
        <v>14.311451532318845</v>
      </c>
      <c r="BO112" s="90">
        <v>12.365899512131163</v>
      </c>
      <c r="BP112" s="90">
        <v>9.9780797712961693</v>
      </c>
      <c r="BQ112" s="90">
        <v>9.2045895094569961</v>
      </c>
      <c r="BR112" s="90">
        <v>8.5201029641755266</v>
      </c>
      <c r="BS112" s="90">
        <v>6.0194318652948331</v>
      </c>
      <c r="BT112" s="90">
        <v>4.1426712991607575</v>
      </c>
      <c r="BU112" s="90">
        <v>2.9940072309444803</v>
      </c>
      <c r="BV112" s="90">
        <v>-0.95524270584089188</v>
      </c>
      <c r="BW112" s="90">
        <v>-1.5687386170569522</v>
      </c>
      <c r="BX112" s="90">
        <v>-4.20618159479766</v>
      </c>
      <c r="BY112" s="90">
        <v>-5.9258545033801724</v>
      </c>
      <c r="BZ112" s="90">
        <v>-6.2882785110666219</v>
      </c>
      <c r="CA112" s="90">
        <v>-6.9675617486091985</v>
      </c>
      <c r="CB112" s="90">
        <v>-5.2861925431358685</v>
      </c>
      <c r="CC112" s="90">
        <v>-3.8941174693334948</v>
      </c>
      <c r="CD112" s="90">
        <v>-1.0803940260565617</v>
      </c>
      <c r="CE112" s="90">
        <v>2.2322263510769131</v>
      </c>
      <c r="CF112" s="90">
        <v>5.8333365070055638</v>
      </c>
      <c r="CG112" s="90">
        <v>10.866763610623826</v>
      </c>
      <c r="CH112" s="90">
        <v>13.682909472264878</v>
      </c>
      <c r="CI112" s="90">
        <v>15.989353732405236</v>
      </c>
      <c r="CJ112" s="90">
        <v>19.321305858224033</v>
      </c>
      <c r="CK112" s="90">
        <v>20.555285890818656</v>
      </c>
      <c r="CL112" s="90">
        <v>20.408969907293042</v>
      </c>
      <c r="CM112" s="90">
        <v>24.266577117125134</v>
      </c>
      <c r="CN112" s="90">
        <v>24.622330508813622</v>
      </c>
      <c r="CO112" s="90">
        <v>25.989397696415729</v>
      </c>
      <c r="CP112" s="90">
        <v>22.980858260425919</v>
      </c>
      <c r="CQ112" s="90">
        <v>22.105947855782006</v>
      </c>
      <c r="CR112" s="90">
        <v>19.278753769422874</v>
      </c>
      <c r="CS112" s="90">
        <v>17.190479247306044</v>
      </c>
      <c r="CT112" s="90">
        <v>15.8120333946139</v>
      </c>
      <c r="CU112" s="90">
        <v>13.915178542449677</v>
      </c>
      <c r="CV112" s="90">
        <v>10.810643210135664</v>
      </c>
      <c r="CW112" s="90">
        <v>10.865181786828575</v>
      </c>
      <c r="CX112" s="90">
        <v>9.3836424722579199</v>
      </c>
      <c r="CY112" s="90">
        <v>6.4603879000198612</v>
      </c>
      <c r="CZ112" s="90">
        <v>4.91238320569762</v>
      </c>
      <c r="DA112" s="90">
        <v>3.081167403285622</v>
      </c>
      <c r="DB112" s="90">
        <v>1.8415031951655356</v>
      </c>
      <c r="DC112" s="90">
        <v>-0.25106692091164984</v>
      </c>
      <c r="DD112" s="90">
        <v>-1.0323756254365044</v>
      </c>
      <c r="DE112" s="90">
        <v>-3.0937160419621414</v>
      </c>
      <c r="DF112" s="70"/>
      <c r="DG112" s="70"/>
      <c r="DH112" s="70"/>
      <c r="DI112" s="70"/>
      <c r="DJ112" s="70"/>
      <c r="DK112" s="70"/>
    </row>
    <row r="113" spans="1:121">
      <c r="A113" s="8">
        <f>A2</f>
        <v>0</v>
      </c>
      <c r="B113" s="411"/>
      <c r="C113" s="411"/>
      <c r="D113" s="411"/>
      <c r="E113" s="411"/>
      <c r="F113" s="411"/>
      <c r="G113" s="411"/>
      <c r="H113" s="411"/>
      <c r="I113" s="411"/>
      <c r="J113" s="411"/>
      <c r="K113" s="411"/>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411"/>
      <c r="AJ113" s="411"/>
      <c r="AK113" s="411"/>
      <c r="AL113" s="411"/>
      <c r="AM113" s="411"/>
      <c r="AN113" s="411"/>
      <c r="AO113" s="411"/>
      <c r="AP113" s="411"/>
      <c r="AQ113" s="411"/>
      <c r="AR113" s="411"/>
      <c r="AS113" s="411"/>
      <c r="AT113" s="411"/>
      <c r="AU113" s="411"/>
      <c r="AV113" s="411"/>
      <c r="AW113" s="411"/>
      <c r="AX113" s="411"/>
      <c r="AY113" s="411"/>
      <c r="AZ113" s="411"/>
      <c r="BA113" s="411"/>
      <c r="BB113" s="411"/>
      <c r="BC113" s="411"/>
      <c r="BD113" s="411"/>
      <c r="BE113" s="411"/>
      <c r="BF113" s="411"/>
      <c r="BG113" s="411"/>
      <c r="BH113" s="411"/>
      <c r="BI113" s="411"/>
      <c r="BJ113" s="411"/>
      <c r="BK113" s="411"/>
      <c r="BL113" s="411"/>
      <c r="BM113" s="411"/>
      <c r="BN113" s="411"/>
      <c r="BO113" s="411"/>
      <c r="BP113" s="411"/>
      <c r="BQ113" s="411"/>
      <c r="BR113" s="411"/>
      <c r="BS113" s="411"/>
      <c r="BT113" s="411"/>
      <c r="BU113" s="411"/>
      <c r="BV113" s="411"/>
      <c r="BW113" s="411"/>
      <c r="BX113" s="411"/>
      <c r="BY113" s="411"/>
      <c r="BZ113" s="411"/>
      <c r="CA113" s="411"/>
      <c r="CB113" s="411"/>
      <c r="CC113" s="411"/>
      <c r="CD113" s="411"/>
      <c r="CE113" s="411"/>
      <c r="CF113" s="411"/>
      <c r="CG113" s="411"/>
      <c r="CH113" s="411"/>
      <c r="CI113" s="411"/>
      <c r="CJ113" s="411"/>
      <c r="CK113" s="411"/>
      <c r="CL113" s="411"/>
      <c r="CM113" s="411"/>
      <c r="CN113" s="411"/>
      <c r="CO113" s="411"/>
      <c r="CP113" s="411"/>
      <c r="CQ113" s="411"/>
      <c r="CR113" s="411"/>
      <c r="CS113" s="411"/>
      <c r="CT113" s="411"/>
      <c r="CU113" s="411"/>
      <c r="CV113" s="411"/>
      <c r="CW113" s="411"/>
      <c r="CX113" s="411"/>
      <c r="CY113" s="411"/>
      <c r="CZ113" s="411"/>
      <c r="DA113" s="411"/>
      <c r="DB113" s="411"/>
      <c r="DC113" s="411"/>
      <c r="DD113" s="411"/>
      <c r="DE113" s="411"/>
    </row>
    <row r="114" spans="1:121">
      <c r="A114" s="8">
        <f>A3</f>
        <v>0</v>
      </c>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row>
    <row r="116" spans="1:121">
      <c r="A116" s="8" t="str">
        <f>"EVULOÇÃO MENSAL DO NÚMERO DE DESEMPREGADOS INSCRITOS NO INSTITUTO DE EMPREGO E FORMAÇÃO PROFISSIONAL (IEFP) POR 1000 HABITANTES EM IDADE ATIVA (15+ ANOS) " &amp; C16 &amp; " " &amp; A16 &amp; " , POR GÉNERO (JAN-04 A JUN-13)"</f>
        <v>EVULOÇÃO MENSAL DO NÚMERO DE DESEMPREGADOS INSCRITOS NO INSTITUTO DE EMPREGO E FORMAÇÃO PROFISSIONAL (IEFP) POR 1000 HABITANTES EM IDADE ATIVA (15+ ANOS)  0 , POR GÉNERO (JAN-04 A JUN-13)</v>
      </c>
    </row>
    <row r="117" spans="1:121">
      <c r="B117" s="15">
        <v>37987</v>
      </c>
      <c r="C117" s="15">
        <v>38018</v>
      </c>
      <c r="D117" s="15">
        <v>38047</v>
      </c>
      <c r="E117" s="15">
        <v>38078</v>
      </c>
      <c r="F117" s="15">
        <v>38108</v>
      </c>
      <c r="G117" s="15">
        <v>38139</v>
      </c>
      <c r="H117" s="15">
        <v>38169</v>
      </c>
      <c r="I117" s="15">
        <v>38200</v>
      </c>
      <c r="J117" s="15">
        <v>38231</v>
      </c>
      <c r="K117" s="15">
        <v>38261</v>
      </c>
      <c r="L117" s="15">
        <v>38292</v>
      </c>
      <c r="M117" s="15">
        <v>38322</v>
      </c>
      <c r="N117" s="15">
        <v>38353</v>
      </c>
      <c r="O117" s="15">
        <v>38384</v>
      </c>
      <c r="P117" s="15">
        <v>38412</v>
      </c>
      <c r="Q117" s="15">
        <v>38443</v>
      </c>
      <c r="R117" s="15">
        <v>38473</v>
      </c>
      <c r="S117" s="15">
        <v>38504</v>
      </c>
      <c r="T117" s="15">
        <v>38534</v>
      </c>
      <c r="U117" s="15">
        <v>38565</v>
      </c>
      <c r="V117" s="15">
        <v>38596</v>
      </c>
      <c r="W117" s="15">
        <v>38626</v>
      </c>
      <c r="X117" s="15">
        <v>38657</v>
      </c>
      <c r="Y117" s="15">
        <v>38687</v>
      </c>
      <c r="Z117" s="15">
        <v>38718</v>
      </c>
      <c r="AA117" s="15">
        <v>38749</v>
      </c>
      <c r="AB117" s="15">
        <v>38777</v>
      </c>
      <c r="AC117" s="15">
        <v>38808</v>
      </c>
      <c r="AD117" s="15">
        <v>38838</v>
      </c>
      <c r="AE117" s="15">
        <v>38869</v>
      </c>
      <c r="AF117" s="15">
        <v>38899</v>
      </c>
      <c r="AG117" s="15">
        <v>38930</v>
      </c>
      <c r="AH117" s="15">
        <v>38961</v>
      </c>
      <c r="AI117" s="15">
        <v>38991</v>
      </c>
      <c r="AJ117" s="15">
        <v>39022</v>
      </c>
      <c r="AK117" s="15">
        <v>39052</v>
      </c>
      <c r="AL117" s="15">
        <v>39083</v>
      </c>
      <c r="AM117" s="15">
        <v>39114</v>
      </c>
      <c r="AN117" s="15">
        <v>39142</v>
      </c>
      <c r="AO117" s="15">
        <v>39173</v>
      </c>
      <c r="AP117" s="15">
        <v>39203</v>
      </c>
      <c r="AQ117" s="15">
        <v>39234</v>
      </c>
      <c r="AR117" s="15">
        <v>39264</v>
      </c>
      <c r="AS117" s="15">
        <v>39295</v>
      </c>
      <c r="AT117" s="15">
        <v>39326</v>
      </c>
      <c r="AU117" s="15">
        <v>39356</v>
      </c>
      <c r="AV117" s="15">
        <v>39387</v>
      </c>
      <c r="AW117" s="15">
        <v>39417</v>
      </c>
      <c r="AX117" s="15">
        <v>39448</v>
      </c>
      <c r="AY117" s="15">
        <v>39479</v>
      </c>
      <c r="AZ117" s="15">
        <v>39508</v>
      </c>
      <c r="BA117" s="15">
        <v>39539</v>
      </c>
      <c r="BB117" s="15">
        <v>39569</v>
      </c>
      <c r="BC117" s="15">
        <v>39600</v>
      </c>
      <c r="BD117" s="15">
        <v>39630</v>
      </c>
      <c r="BE117" s="15">
        <v>39661</v>
      </c>
      <c r="BF117" s="15">
        <v>39692</v>
      </c>
      <c r="BG117" s="15">
        <v>39722</v>
      </c>
      <c r="BH117" s="15">
        <v>39753</v>
      </c>
      <c r="BI117" s="15">
        <v>39783</v>
      </c>
      <c r="BJ117" s="15">
        <v>39814</v>
      </c>
      <c r="BK117" s="15">
        <v>39845</v>
      </c>
      <c r="BL117" s="15">
        <v>39873</v>
      </c>
      <c r="BM117" s="15">
        <v>39904</v>
      </c>
      <c r="BN117" s="15">
        <v>39934</v>
      </c>
      <c r="BO117" s="15">
        <v>39965</v>
      </c>
      <c r="BP117" s="15">
        <v>39995</v>
      </c>
      <c r="BQ117" s="15">
        <v>40026</v>
      </c>
      <c r="BR117" s="15">
        <v>40057</v>
      </c>
      <c r="BS117" s="15">
        <v>40087</v>
      </c>
      <c r="BT117" s="15">
        <v>40118</v>
      </c>
      <c r="BU117" s="15">
        <v>40148</v>
      </c>
      <c r="BV117" s="15">
        <v>40179</v>
      </c>
      <c r="BW117" s="15">
        <v>40210</v>
      </c>
      <c r="BX117" s="15">
        <v>40238</v>
      </c>
      <c r="BY117" s="15">
        <v>40269</v>
      </c>
      <c r="BZ117" s="15">
        <v>40299</v>
      </c>
      <c r="CA117" s="15">
        <v>40330</v>
      </c>
      <c r="CB117" s="15">
        <v>40360</v>
      </c>
      <c r="CC117" s="15">
        <v>40391</v>
      </c>
      <c r="CD117" s="15">
        <v>40422</v>
      </c>
      <c r="CE117" s="15">
        <v>40452</v>
      </c>
      <c r="CF117" s="15">
        <v>40483</v>
      </c>
      <c r="CG117" s="15">
        <v>40513</v>
      </c>
      <c r="CH117" s="15">
        <v>40544</v>
      </c>
      <c r="CI117" s="15">
        <v>40575</v>
      </c>
      <c r="CJ117" s="15">
        <v>40603</v>
      </c>
      <c r="CK117" s="15">
        <v>40634</v>
      </c>
      <c r="CL117" s="15">
        <v>40664</v>
      </c>
      <c r="CM117" s="15">
        <v>40695</v>
      </c>
      <c r="CN117" s="15">
        <v>40725</v>
      </c>
      <c r="CO117" s="15">
        <v>40756</v>
      </c>
      <c r="CP117" s="15">
        <v>40787</v>
      </c>
      <c r="CQ117" s="15">
        <v>40817</v>
      </c>
      <c r="CR117" s="15">
        <v>40848</v>
      </c>
      <c r="CS117" s="15">
        <v>40878</v>
      </c>
      <c r="CT117" s="15">
        <v>40909</v>
      </c>
      <c r="CU117" s="15">
        <v>40940</v>
      </c>
      <c r="CV117" s="15">
        <v>40969</v>
      </c>
      <c r="CW117" s="15">
        <v>41000</v>
      </c>
      <c r="CX117" s="15">
        <v>41030</v>
      </c>
      <c r="CY117" s="15">
        <v>41061</v>
      </c>
      <c r="CZ117" s="15">
        <v>41091</v>
      </c>
      <c r="DA117" s="15">
        <v>41122</v>
      </c>
      <c r="DB117" s="15">
        <v>41153</v>
      </c>
      <c r="DC117" s="15">
        <v>41183</v>
      </c>
      <c r="DD117" s="15">
        <v>41214</v>
      </c>
      <c r="DE117" s="15">
        <v>41244</v>
      </c>
      <c r="DF117" s="15">
        <v>41275</v>
      </c>
      <c r="DG117" s="15">
        <v>41306</v>
      </c>
      <c r="DH117" s="15">
        <v>41334</v>
      </c>
      <c r="DI117" s="15">
        <v>41365</v>
      </c>
      <c r="DJ117" s="15">
        <v>41395</v>
      </c>
      <c r="DK117" s="15">
        <v>41426</v>
      </c>
      <c r="DL117" s="15">
        <v>41456</v>
      </c>
      <c r="DM117" s="15">
        <v>41487</v>
      </c>
      <c r="DN117" s="15">
        <v>41518</v>
      </c>
      <c r="DO117" s="15">
        <v>41548</v>
      </c>
      <c r="DP117" s="15">
        <v>41579</v>
      </c>
      <c r="DQ117" s="15">
        <v>41609</v>
      </c>
    </row>
    <row r="118" spans="1:121">
      <c r="A118" s="8" t="s">
        <v>16</v>
      </c>
      <c r="B118" s="90">
        <v>54.130555028780918</v>
      </c>
      <c r="C118" s="90">
        <v>54.531066324172848</v>
      </c>
      <c r="D118" s="90">
        <v>54.900316429649301</v>
      </c>
      <c r="E118" s="90">
        <v>53.833723487700283</v>
      </c>
      <c r="F118" s="90">
        <v>52.702040670591423</v>
      </c>
      <c r="G118" s="90">
        <v>51.818731713133062</v>
      </c>
      <c r="H118" s="90">
        <v>51.95961860733685</v>
      </c>
      <c r="I118" s="90">
        <v>52.374824758745689</v>
      </c>
      <c r="J118" s="90">
        <v>54.349915056519833</v>
      </c>
      <c r="K118" s="90">
        <v>54.385273352243978</v>
      </c>
      <c r="L118" s="90">
        <v>54.726663765909947</v>
      </c>
      <c r="M118" s="90">
        <v>54.406390776019244</v>
      </c>
      <c r="N118" s="90">
        <v>56.031910282540842</v>
      </c>
      <c r="O118" s="90">
        <v>56.491318307146663</v>
      </c>
      <c r="P118" s="90">
        <v>56.143722257259768</v>
      </c>
      <c r="Q118" s="90">
        <v>55.466907758420554</v>
      </c>
      <c r="R118" s="90">
        <v>54.509387684023402</v>
      </c>
      <c r="S118" s="90">
        <v>53.787839092105678</v>
      </c>
      <c r="T118" s="90">
        <v>53.421964589390718</v>
      </c>
      <c r="U118" s="90">
        <v>53.938762346576958</v>
      </c>
      <c r="V118" s="90">
        <v>55.997887064649284</v>
      </c>
      <c r="W118" s="90">
        <v>56.188080148788778</v>
      </c>
      <c r="X118" s="90">
        <v>56.301130540064101</v>
      </c>
      <c r="Y118" s="90">
        <v>55.490003347548566</v>
      </c>
      <c r="Z118" s="90">
        <v>56.829620755458492</v>
      </c>
      <c r="AA118" s="90">
        <v>56.419831180472208</v>
      </c>
      <c r="AB118" s="90">
        <v>55.484880674995182</v>
      </c>
      <c r="AC118" s="90">
        <v>54.224491036351104</v>
      </c>
      <c r="AD118" s="90">
        <v>52.787613236559707</v>
      </c>
      <c r="AE118" s="90">
        <v>51.07712341388752</v>
      </c>
      <c r="AF118" s="90">
        <v>50.43790179874361</v>
      </c>
      <c r="AG118" s="90">
        <v>50.398439012882392</v>
      </c>
      <c r="AH118" s="90">
        <v>51.69886568872446</v>
      </c>
      <c r="AI118" s="90">
        <v>52.105170709888576</v>
      </c>
      <c r="AJ118" s="90">
        <v>52.622326394445928</v>
      </c>
      <c r="AK118" s="90">
        <v>51.995148812744453</v>
      </c>
      <c r="AL118" s="90">
        <v>52.499004103142312</v>
      </c>
      <c r="AM118" s="90">
        <v>51.752731214644477</v>
      </c>
      <c r="AN118" s="90">
        <v>50.680517705699366</v>
      </c>
      <c r="AO118" s="90">
        <v>48.247363295140353</v>
      </c>
      <c r="AP118" s="90">
        <v>45.523118747291704</v>
      </c>
      <c r="AQ118" s="90">
        <v>44.498987091381039</v>
      </c>
      <c r="AR118" s="90">
        <v>44.632954711383654</v>
      </c>
      <c r="AS118" s="90">
        <v>44.934913473929242</v>
      </c>
      <c r="AT118" s="90">
        <v>45.591283929603442</v>
      </c>
      <c r="AU118" s="90">
        <v>45.660630484225607</v>
      </c>
      <c r="AV118" s="90">
        <v>45.431089844309305</v>
      </c>
      <c r="AW118" s="90">
        <v>44.432086371316046</v>
      </c>
      <c r="AX118" s="90">
        <v>45.476041503359831</v>
      </c>
      <c r="AY118" s="90">
        <v>45.367550494946968</v>
      </c>
      <c r="AZ118" s="90">
        <v>44.506113547598886</v>
      </c>
      <c r="BA118" s="90">
        <v>43.972253904441409</v>
      </c>
      <c r="BB118" s="90">
        <v>43.648411585413179</v>
      </c>
      <c r="BC118" s="90">
        <v>43.60725449819715</v>
      </c>
      <c r="BD118" s="90">
        <v>43.564584582466289</v>
      </c>
      <c r="BE118" s="90">
        <v>44.519520649064638</v>
      </c>
      <c r="BF118" s="90">
        <v>45.12035809158845</v>
      </c>
      <c r="BG118" s="90">
        <v>45.666919524476917</v>
      </c>
      <c r="BH118" s="90">
        <v>46.512136062617977</v>
      </c>
      <c r="BI118" s="90">
        <v>47.280806021198224</v>
      </c>
      <c r="BJ118" s="90">
        <v>50.865369923264147</v>
      </c>
      <c r="BK118" s="90">
        <v>53.254360755395027</v>
      </c>
      <c r="BL118" s="90">
        <v>54.884571182263457</v>
      </c>
      <c r="BM118" s="90">
        <v>55.742365801959998</v>
      </c>
      <c r="BN118" s="90">
        <v>55.425844746438436</v>
      </c>
      <c r="BO118" s="90">
        <v>55.475591633629485</v>
      </c>
      <c r="BP118" s="90">
        <v>56.291476626805107</v>
      </c>
      <c r="BQ118" s="90">
        <v>56.867927354580239</v>
      </c>
      <c r="BR118" s="90">
        <v>57.801168001297221</v>
      </c>
      <c r="BS118" s="90">
        <v>58.527845045780779</v>
      </c>
      <c r="BT118" s="90">
        <v>59.100117429288339</v>
      </c>
      <c r="BU118" s="90">
        <v>59.148380498534927</v>
      </c>
      <c r="BV118" s="90">
        <v>63.162212853423824</v>
      </c>
      <c r="BW118" s="90">
        <v>63.221041015593229</v>
      </c>
      <c r="BX118" s="90">
        <v>64.436679851627247</v>
      </c>
      <c r="BY118" s="90">
        <v>64.361648087646515</v>
      </c>
      <c r="BZ118" s="90">
        <v>63.211840419107588</v>
      </c>
      <c r="CA118" s="90">
        <v>62.192383707207902</v>
      </c>
      <c r="CB118" s="90">
        <v>61.76662224576453</v>
      </c>
      <c r="CC118" s="90">
        <v>61.960900184661497</v>
      </c>
      <c r="CD118" s="90">
        <v>62.583606608004843</v>
      </c>
      <c r="CE118" s="90">
        <v>61.910759027080722</v>
      </c>
      <c r="CF118" s="90">
        <v>61.410060249282715</v>
      </c>
      <c r="CG118" s="90">
        <v>60.782928850764584</v>
      </c>
      <c r="CH118" s="90">
        <v>62.434853469469019</v>
      </c>
      <c r="CI118" s="90">
        <v>62.121853739801288</v>
      </c>
      <c r="CJ118" s="90">
        <v>61.635622391637582</v>
      </c>
      <c r="CK118" s="90">
        <v>60.47418219990022</v>
      </c>
      <c r="CL118" s="90">
        <v>59.180185608896899</v>
      </c>
      <c r="CM118" s="90">
        <v>57.818520100353069</v>
      </c>
      <c r="CN118" s="90">
        <v>58.475493191922148</v>
      </c>
      <c r="CO118" s="90">
        <v>59.536843119916533</v>
      </c>
      <c r="CP118" s="90">
        <v>61.911657699814214</v>
      </c>
      <c r="CQ118" s="90">
        <v>63.31327166461034</v>
      </c>
      <c r="CR118" s="90">
        <v>65.030059062152816</v>
      </c>
      <c r="CS118" s="90">
        <v>67.444485373101628</v>
      </c>
      <c r="CT118" s="90">
        <v>71.055626797325147</v>
      </c>
      <c r="CU118" s="90">
        <v>72.152523389348545</v>
      </c>
      <c r="CV118" s="90">
        <v>73.66337419935364</v>
      </c>
      <c r="CW118" s="90">
        <v>73.041715855916777</v>
      </c>
      <c r="CX118" s="90">
        <v>71.410618636498967</v>
      </c>
      <c r="CY118" s="90">
        <v>72.02145816949573</v>
      </c>
      <c r="CZ118" s="90">
        <v>73.06735404781945</v>
      </c>
      <c r="DA118" s="90">
        <v>75.22920682187268</v>
      </c>
      <c r="DB118" s="90">
        <v>76.381773668352722</v>
      </c>
      <c r="DC118" s="90">
        <v>77.575487579768563</v>
      </c>
      <c r="DD118" s="90">
        <v>77.854438587136485</v>
      </c>
      <c r="DE118" s="90">
        <v>79.352050551973861</v>
      </c>
      <c r="DF118" s="90">
        <v>82.590200098234675</v>
      </c>
      <c r="DG118" s="90">
        <v>82.464381705982277</v>
      </c>
      <c r="DH118" s="90">
        <v>81.869710649416746</v>
      </c>
      <c r="DI118" s="90">
        <v>81.191983007115965</v>
      </c>
      <c r="DJ118" s="90">
        <v>78.292286110789036</v>
      </c>
      <c r="DK118" s="90">
        <v>76.826401985181619</v>
      </c>
      <c r="DL118" s="90">
        <v>76.783405223683602</v>
      </c>
      <c r="DM118" s="90">
        <v>77.64968423812735</v>
      </c>
      <c r="DN118" s="90">
        <v>77.865490388050475</v>
      </c>
      <c r="DO118" s="90">
        <v>77.431880970866885</v>
      </c>
      <c r="DP118" s="90">
        <v>77.076159129839539</v>
      </c>
      <c r="DQ118" s="90">
        <v>76.897123434421545</v>
      </c>
    </row>
    <row r="119" spans="1:121">
      <c r="A119" s="8">
        <f>A2</f>
        <v>0</v>
      </c>
      <c r="B119" s="411"/>
      <c r="C119" s="411"/>
      <c r="D119" s="411"/>
      <c r="E119" s="411"/>
      <c r="F119" s="411"/>
      <c r="G119" s="411"/>
      <c r="H119" s="411"/>
      <c r="I119" s="411"/>
      <c r="J119" s="411"/>
      <c r="K119" s="411"/>
      <c r="L119" s="411"/>
      <c r="M119" s="411"/>
      <c r="N119" s="411"/>
      <c r="O119" s="411"/>
      <c r="P119" s="411"/>
      <c r="Q119" s="411"/>
      <c r="R119" s="411"/>
      <c r="S119" s="411"/>
      <c r="T119" s="411"/>
      <c r="U119" s="411"/>
      <c r="V119" s="411"/>
      <c r="W119" s="411"/>
      <c r="X119" s="411"/>
      <c r="Y119" s="411"/>
      <c r="Z119" s="411"/>
      <c r="AA119" s="411"/>
      <c r="AB119" s="411"/>
      <c r="AC119" s="411"/>
      <c r="AD119" s="411"/>
      <c r="AE119" s="411"/>
      <c r="AF119" s="411"/>
      <c r="AG119" s="411"/>
      <c r="AH119" s="411"/>
      <c r="AI119" s="411"/>
      <c r="AJ119" s="411"/>
      <c r="AK119" s="411"/>
      <c r="AL119" s="411"/>
      <c r="AM119" s="411"/>
      <c r="AN119" s="411"/>
      <c r="AO119" s="411"/>
      <c r="AP119" s="411"/>
      <c r="AQ119" s="411"/>
      <c r="AR119" s="411"/>
      <c r="AS119" s="411"/>
      <c r="AT119" s="411"/>
      <c r="AU119" s="411"/>
      <c r="AV119" s="411"/>
      <c r="AW119" s="411"/>
      <c r="AX119" s="411"/>
      <c r="AY119" s="411"/>
      <c r="AZ119" s="411"/>
      <c r="BA119" s="411"/>
      <c r="BB119" s="411"/>
      <c r="BC119" s="411"/>
      <c r="BD119" s="411"/>
      <c r="BE119" s="411"/>
      <c r="BF119" s="411"/>
      <c r="BG119" s="411"/>
      <c r="BH119" s="411"/>
      <c r="BI119" s="411"/>
      <c r="BJ119" s="411"/>
      <c r="BK119" s="411"/>
      <c r="BL119" s="411"/>
      <c r="BM119" s="411"/>
      <c r="BN119" s="411"/>
      <c r="BO119" s="411"/>
      <c r="BP119" s="411"/>
      <c r="BQ119" s="411"/>
      <c r="BR119" s="411"/>
      <c r="BS119" s="411"/>
      <c r="BT119" s="411"/>
      <c r="BU119" s="411"/>
      <c r="BV119" s="411"/>
      <c r="BW119" s="411"/>
      <c r="BX119" s="411"/>
      <c r="BY119" s="411"/>
      <c r="BZ119" s="411"/>
      <c r="CA119" s="411"/>
      <c r="CB119" s="411"/>
      <c r="CC119" s="411"/>
      <c r="CD119" s="411"/>
      <c r="CE119" s="411"/>
      <c r="CF119" s="411"/>
      <c r="CG119" s="411"/>
      <c r="CH119" s="411"/>
      <c r="CI119" s="411"/>
      <c r="CJ119" s="411"/>
      <c r="CK119" s="411"/>
      <c r="CL119" s="411"/>
      <c r="CM119" s="411"/>
      <c r="CN119" s="411"/>
      <c r="CO119" s="411"/>
      <c r="CP119" s="411"/>
      <c r="CQ119" s="411"/>
      <c r="CR119" s="411"/>
      <c r="CS119" s="411"/>
      <c r="CT119" s="411"/>
      <c r="CU119" s="411"/>
      <c r="CV119" s="411"/>
      <c r="CW119" s="411"/>
      <c r="CX119" s="411"/>
      <c r="CY119" s="411"/>
      <c r="CZ119" s="411"/>
      <c r="DA119" s="411"/>
      <c r="DB119" s="411"/>
      <c r="DC119" s="411"/>
      <c r="DD119" s="411"/>
      <c r="DE119" s="411"/>
      <c r="DF119" s="411"/>
      <c r="DG119" s="411"/>
      <c r="DH119" s="411"/>
      <c r="DI119" s="411"/>
      <c r="DJ119" s="411"/>
      <c r="DK119" s="411"/>
      <c r="DL119" s="411"/>
      <c r="DM119" s="411"/>
      <c r="DN119" s="411"/>
      <c r="DO119" s="411"/>
      <c r="DP119" s="411"/>
      <c r="DQ119" s="411"/>
    </row>
    <row r="120" spans="1:121">
      <c r="A120" s="8">
        <f>A3</f>
        <v>0</v>
      </c>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row>
    <row r="121" spans="1:121">
      <c r="A121" s="8" t="s">
        <v>62</v>
      </c>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row>
    <row r="122" spans="1:121">
      <c r="A122" s="8" t="s">
        <v>63</v>
      </c>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row>
    <row r="124" spans="1:121">
      <c r="A124" s="69" t="s">
        <v>486</v>
      </c>
    </row>
    <row r="125" spans="1:121">
      <c r="A125" s="9" t="s">
        <v>8</v>
      </c>
      <c r="B125" s="72" t="s">
        <v>302</v>
      </c>
      <c r="C125" s="72" t="s">
        <v>215</v>
      </c>
      <c r="D125" s="72" t="s">
        <v>216</v>
      </c>
      <c r="E125" s="108"/>
      <c r="F125" s="108"/>
      <c r="G125" s="108"/>
      <c r="H125" s="108"/>
      <c r="I125" s="108"/>
      <c r="J125" s="108"/>
      <c r="K125" s="108"/>
      <c r="L125" s="108"/>
      <c r="M125" s="108"/>
      <c r="N125" s="108"/>
      <c r="O125" s="108"/>
      <c r="P125" s="108"/>
    </row>
    <row r="126" spans="1:121">
      <c r="A126" s="8" t="s">
        <v>16</v>
      </c>
      <c r="B126" s="90">
        <f>DQ118</f>
        <v>76.897123434421545</v>
      </c>
      <c r="C126" s="10">
        <v>79.257726887942965</v>
      </c>
      <c r="D126" s="10">
        <v>74.803467275284135</v>
      </c>
      <c r="E126" s="90"/>
      <c r="F126" s="137"/>
      <c r="G126" s="137"/>
      <c r="H126" s="90"/>
      <c r="I126" s="137"/>
      <c r="J126" s="90"/>
      <c r="K126" s="90"/>
      <c r="L126" s="90"/>
      <c r="M126" s="90"/>
      <c r="N126" s="90"/>
      <c r="O126" s="90"/>
      <c r="P126" s="90"/>
      <c r="Q126" s="10"/>
      <c r="R126" s="10"/>
      <c r="S126" s="10"/>
      <c r="T126" s="10"/>
      <c r="U126" s="10"/>
    </row>
    <row r="127" spans="1:121">
      <c r="A127" s="8">
        <f>A2</f>
        <v>0</v>
      </c>
      <c r="B127" s="90">
        <f t="shared" ref="B127:B128" si="13">DK119</f>
        <v>0</v>
      </c>
      <c r="C127" s="411"/>
      <c r="D127" s="411"/>
      <c r="E127" s="90"/>
      <c r="F127" s="137"/>
      <c r="G127" s="137"/>
      <c r="H127" s="90"/>
      <c r="I127" s="137"/>
      <c r="J127" s="90"/>
      <c r="K127" s="90"/>
      <c r="L127" s="90"/>
      <c r="M127" s="90"/>
      <c r="N127" s="90"/>
      <c r="O127" s="90"/>
      <c r="P127" s="90"/>
      <c r="Q127" s="10"/>
      <c r="R127" s="10"/>
      <c r="S127" s="10"/>
      <c r="T127" s="10"/>
      <c r="U127" s="10"/>
    </row>
    <row r="128" spans="1:121">
      <c r="A128" s="8">
        <f>A3</f>
        <v>0</v>
      </c>
      <c r="B128" s="90">
        <f t="shared" si="13"/>
        <v>0</v>
      </c>
      <c r="C128" s="90">
        <f>DK121</f>
        <v>0</v>
      </c>
      <c r="D128" s="90">
        <f>DK122</f>
        <v>0</v>
      </c>
      <c r="E128" s="90"/>
      <c r="F128" s="137"/>
      <c r="G128" s="137"/>
      <c r="H128" s="90"/>
      <c r="I128" s="137"/>
      <c r="J128" s="90"/>
      <c r="K128" s="90"/>
      <c r="L128" s="90"/>
      <c r="M128" s="90"/>
      <c r="N128" s="90"/>
      <c r="O128" s="90"/>
      <c r="P128" s="90"/>
      <c r="Q128" s="90"/>
      <c r="R128" s="90"/>
      <c r="S128" s="90"/>
      <c r="T128" s="90"/>
      <c r="U128" s="90"/>
    </row>
    <row r="130" spans="1:21">
      <c r="A130" s="69" t="s">
        <v>261</v>
      </c>
    </row>
    <row r="131" spans="1:21">
      <c r="A131" s="9" t="s">
        <v>8</v>
      </c>
      <c r="C131" s="8" t="s">
        <v>277</v>
      </c>
      <c r="D131" s="8" t="s">
        <v>278</v>
      </c>
      <c r="E131" s="8" t="s">
        <v>279</v>
      </c>
      <c r="G131" s="108"/>
      <c r="H131" s="108"/>
      <c r="I131" s="108"/>
      <c r="J131" s="108"/>
      <c r="K131" s="108"/>
      <c r="L131" s="108"/>
      <c r="M131" s="108"/>
      <c r="N131" s="108"/>
      <c r="O131" s="108"/>
      <c r="P131" s="108"/>
    </row>
    <row r="132" spans="1:21">
      <c r="A132" s="8" t="s">
        <v>16</v>
      </c>
      <c r="B132" s="8">
        <v>2001</v>
      </c>
      <c r="C132" s="10">
        <v>4.7543639656675083</v>
      </c>
      <c r="D132" s="10">
        <v>35.537602868395638</v>
      </c>
      <c r="E132" s="10">
        <v>59.708033165936861</v>
      </c>
      <c r="F132" s="419">
        <f>SUM(C132:E132)</f>
        <v>100</v>
      </c>
      <c r="G132" s="137"/>
      <c r="H132" s="90"/>
      <c r="I132" s="137"/>
      <c r="J132" s="90"/>
      <c r="K132" s="90"/>
      <c r="L132" s="90"/>
      <c r="M132" s="90"/>
      <c r="N132" s="90"/>
      <c r="O132" s="90"/>
      <c r="P132" s="90"/>
      <c r="Q132" s="10"/>
      <c r="R132" s="10"/>
      <c r="S132" s="10"/>
      <c r="T132" s="10"/>
      <c r="U132" s="10"/>
    </row>
    <row r="133" spans="1:21">
      <c r="B133" s="8">
        <v>2011</v>
      </c>
      <c r="C133" s="10">
        <v>2.916810834619199</v>
      </c>
      <c r="D133" s="10">
        <v>26.874440395426589</v>
      </c>
      <c r="E133" s="10">
        <v>70.208748769954212</v>
      </c>
      <c r="F133" s="419">
        <f t="shared" ref="F133:F137" si="14">SUM(C133:E133)</f>
        <v>100</v>
      </c>
      <c r="G133" s="137"/>
      <c r="H133" s="90"/>
      <c r="I133" s="137"/>
      <c r="J133" s="90"/>
      <c r="K133" s="90"/>
      <c r="L133" s="90"/>
      <c r="M133" s="90"/>
      <c r="N133" s="90"/>
      <c r="O133" s="90"/>
      <c r="P133" s="90"/>
      <c r="Q133" s="10"/>
      <c r="R133" s="10"/>
      <c r="S133" s="10"/>
      <c r="T133" s="10"/>
      <c r="U133" s="10"/>
    </row>
    <row r="134" spans="1:21">
      <c r="A134" s="8">
        <f>A2</f>
        <v>0</v>
      </c>
      <c r="B134" s="8">
        <v>2001</v>
      </c>
      <c r="C134" s="411"/>
      <c r="D134" s="411"/>
      <c r="E134" s="411"/>
      <c r="F134" s="419">
        <f t="shared" si="14"/>
        <v>0</v>
      </c>
      <c r="G134" s="137"/>
      <c r="H134" s="90"/>
      <c r="I134" s="137"/>
      <c r="J134" s="90"/>
      <c r="K134" s="90"/>
      <c r="L134" s="90"/>
      <c r="M134" s="90"/>
      <c r="N134" s="90"/>
      <c r="O134" s="90"/>
      <c r="P134" s="90"/>
      <c r="Q134" s="10"/>
      <c r="R134" s="10"/>
      <c r="S134" s="10"/>
      <c r="T134" s="10"/>
      <c r="U134" s="10"/>
    </row>
    <row r="135" spans="1:21">
      <c r="B135" s="8">
        <v>2011</v>
      </c>
      <c r="C135" s="411"/>
      <c r="D135" s="411"/>
      <c r="E135" s="411"/>
      <c r="F135" s="419">
        <f t="shared" si="14"/>
        <v>0</v>
      </c>
      <c r="G135" s="137"/>
      <c r="H135" s="90"/>
      <c r="I135" s="137"/>
      <c r="J135" s="90"/>
      <c r="K135" s="90"/>
      <c r="L135" s="90"/>
      <c r="M135" s="90"/>
      <c r="N135" s="90"/>
      <c r="O135" s="90"/>
      <c r="P135" s="90"/>
      <c r="Q135" s="10"/>
      <c r="R135" s="10"/>
      <c r="S135" s="10"/>
      <c r="T135" s="10"/>
      <c r="U135" s="10"/>
    </row>
    <row r="136" spans="1:21">
      <c r="A136" s="8">
        <f>A3</f>
        <v>0</v>
      </c>
      <c r="B136" s="8">
        <v>2001</v>
      </c>
      <c r="C136" s="11"/>
      <c r="D136" s="11"/>
      <c r="E136" s="11"/>
      <c r="F136" s="419">
        <f t="shared" si="14"/>
        <v>0</v>
      </c>
      <c r="G136" s="137"/>
      <c r="H136" s="90"/>
      <c r="I136" s="137"/>
      <c r="J136" s="90"/>
      <c r="K136" s="90"/>
      <c r="L136" s="90"/>
      <c r="M136" s="90"/>
      <c r="N136" s="90"/>
      <c r="O136" s="90"/>
      <c r="P136" s="90"/>
      <c r="Q136" s="90"/>
      <c r="R136" s="90"/>
      <c r="S136" s="90"/>
      <c r="T136" s="90"/>
      <c r="U136" s="90"/>
    </row>
    <row r="137" spans="1:21">
      <c r="B137" s="8">
        <v>2011</v>
      </c>
      <c r="C137" s="11"/>
      <c r="D137" s="11"/>
      <c r="E137" s="11"/>
      <c r="F137" s="419">
        <f t="shared" si="14"/>
        <v>0</v>
      </c>
      <c r="G137" s="137"/>
      <c r="H137" s="90"/>
      <c r="I137" s="137"/>
      <c r="J137" s="90"/>
      <c r="K137" s="90"/>
      <c r="L137" s="90"/>
      <c r="M137" s="90"/>
      <c r="N137" s="90"/>
      <c r="O137" s="90"/>
      <c r="P137" s="90"/>
      <c r="Q137" s="90"/>
      <c r="R137" s="90"/>
      <c r="S137" s="90"/>
      <c r="T137" s="90"/>
      <c r="U137" s="90"/>
    </row>
    <row r="139" spans="1:21">
      <c r="A139" s="69" t="s">
        <v>180</v>
      </c>
    </row>
    <row r="140" spans="1:21">
      <c r="A140" s="9" t="s">
        <v>8</v>
      </c>
      <c r="B140" s="72" t="s">
        <v>307</v>
      </c>
      <c r="C140" s="72" t="s">
        <v>466</v>
      </c>
      <c r="D140" s="72" t="s">
        <v>308</v>
      </c>
      <c r="E140" s="72" t="s">
        <v>467</v>
      </c>
      <c r="F140" s="72" t="s">
        <v>309</v>
      </c>
      <c r="G140" s="72" t="s">
        <v>310</v>
      </c>
      <c r="H140" s="72" t="s">
        <v>468</v>
      </c>
      <c r="I140" s="437"/>
      <c r="J140" s="108"/>
      <c r="K140" s="108"/>
      <c r="L140" s="108"/>
      <c r="M140" s="108"/>
      <c r="N140" s="108"/>
      <c r="O140" s="108"/>
      <c r="P140" s="108"/>
    </row>
    <row r="141" spans="1:21">
      <c r="A141" s="8" t="s">
        <v>16</v>
      </c>
      <c r="B141" s="88">
        <v>385836</v>
      </c>
      <c r="C141" s="10">
        <v>45.237319886119991</v>
      </c>
      <c r="D141" s="88">
        <v>2901720</v>
      </c>
      <c r="E141" s="10">
        <v>340.88678353562369</v>
      </c>
      <c r="F141" s="88">
        <v>4697.9250237790002</v>
      </c>
      <c r="G141" s="88">
        <v>316112</v>
      </c>
      <c r="H141" s="10">
        <v>37.062533469767367</v>
      </c>
      <c r="I141" s="137"/>
      <c r="J141" s="90"/>
      <c r="K141" s="90"/>
      <c r="L141" s="90"/>
      <c r="M141" s="90"/>
      <c r="N141" s="90"/>
      <c r="O141" s="90"/>
      <c r="P141" s="90"/>
      <c r="Q141" s="10"/>
      <c r="R141" s="10"/>
      <c r="S141" s="10"/>
      <c r="T141" s="10"/>
      <c r="U141" s="10"/>
    </row>
    <row r="142" spans="1:21">
      <c r="A142" s="8">
        <f>A2</f>
        <v>0</v>
      </c>
      <c r="B142" s="412"/>
      <c r="C142" s="411"/>
      <c r="D142" s="412"/>
      <c r="E142" s="411"/>
      <c r="F142" s="412"/>
      <c r="G142" s="412"/>
      <c r="H142" s="411"/>
      <c r="I142" s="137"/>
      <c r="J142" s="90"/>
      <c r="K142" s="90"/>
      <c r="L142" s="90"/>
      <c r="M142" s="90"/>
      <c r="N142" s="90"/>
      <c r="O142" s="90"/>
      <c r="P142" s="90"/>
      <c r="Q142" s="10"/>
      <c r="R142" s="10"/>
      <c r="S142" s="10"/>
      <c r="T142" s="10"/>
      <c r="U142" s="10"/>
    </row>
    <row r="143" spans="1:21">
      <c r="A143" s="8">
        <f>A3</f>
        <v>0</v>
      </c>
      <c r="B143" s="89"/>
      <c r="C143" s="11"/>
      <c r="D143" s="89"/>
      <c r="E143" s="11"/>
      <c r="F143" s="89"/>
      <c r="G143" s="89"/>
      <c r="H143" s="11"/>
      <c r="I143" s="137"/>
      <c r="J143" s="90"/>
      <c r="K143" s="90"/>
      <c r="L143" s="90"/>
      <c r="M143" s="90"/>
      <c r="N143" s="90"/>
      <c r="O143" s="90"/>
      <c r="P143" s="90"/>
      <c r="Q143" s="90"/>
      <c r="R143" s="90"/>
      <c r="S143" s="90"/>
      <c r="T143" s="90"/>
      <c r="U143" s="90"/>
    </row>
    <row r="144" spans="1:21">
      <c r="B144" s="70"/>
      <c r="C144" s="70"/>
      <c r="D144" s="70"/>
      <c r="E144" s="70"/>
      <c r="H144" s="12"/>
      <c r="I144" s="12"/>
      <c r="J144" s="12"/>
      <c r="K144" s="12"/>
      <c r="L144" s="12"/>
      <c r="M144" s="12"/>
      <c r="N144" s="14"/>
      <c r="O144" s="14"/>
      <c r="P144" s="12"/>
      <c r="Q144" s="12"/>
    </row>
    <row r="145" spans="1:21">
      <c r="A145" s="69" t="s">
        <v>464</v>
      </c>
    </row>
    <row r="146" spans="1:21">
      <c r="A146" s="8" t="s">
        <v>8</v>
      </c>
      <c r="B146" s="225">
        <v>2007</v>
      </c>
      <c r="C146" s="225">
        <v>2008</v>
      </c>
      <c r="D146" s="225">
        <v>2009</v>
      </c>
      <c r="E146" s="225">
        <v>2010</v>
      </c>
      <c r="F146" s="398">
        <v>2011</v>
      </c>
      <c r="G146" s="433">
        <v>2012</v>
      </c>
      <c r="H146" s="108"/>
      <c r="I146" s="108"/>
      <c r="J146" s="108"/>
      <c r="K146" s="108"/>
      <c r="L146" s="108"/>
      <c r="M146" s="108"/>
      <c r="N146" s="108"/>
      <c r="O146" s="108"/>
      <c r="P146" s="108"/>
    </row>
    <row r="147" spans="1:21">
      <c r="A147" s="8" t="s">
        <v>16</v>
      </c>
      <c r="B147" s="10">
        <v>39.879231605072917</v>
      </c>
      <c r="C147" s="10">
        <v>45.481483711291325</v>
      </c>
      <c r="D147" s="10">
        <v>53.018993585510437</v>
      </c>
      <c r="E147" s="10">
        <v>57.176242127384313</v>
      </c>
      <c r="F147" s="10">
        <v>48.52394789542241</v>
      </c>
      <c r="G147" s="90">
        <v>45.237319886119991</v>
      </c>
      <c r="H147" s="90"/>
      <c r="I147" s="137"/>
      <c r="J147" s="90"/>
      <c r="K147" s="90"/>
      <c r="L147" s="90"/>
      <c r="M147" s="90"/>
      <c r="N147" s="90"/>
      <c r="O147" s="90"/>
      <c r="P147" s="90"/>
      <c r="Q147" s="10"/>
      <c r="R147" s="10"/>
      <c r="S147" s="10"/>
      <c r="T147" s="10"/>
      <c r="U147" s="10"/>
    </row>
    <row r="148" spans="1:21">
      <c r="A148" s="8">
        <f>A2</f>
        <v>0</v>
      </c>
      <c r="B148" s="411"/>
      <c r="C148" s="411"/>
      <c r="D148" s="411"/>
      <c r="E148" s="411"/>
      <c r="F148" s="411"/>
      <c r="G148" s="411"/>
      <c r="H148" s="90"/>
      <c r="I148" s="137"/>
      <c r="J148" s="90"/>
      <c r="K148" s="90"/>
      <c r="L148" s="90"/>
      <c r="M148" s="90"/>
      <c r="N148" s="90"/>
      <c r="O148" s="90"/>
      <c r="P148" s="90"/>
      <c r="Q148" s="10"/>
      <c r="R148" s="10"/>
      <c r="S148" s="10"/>
      <c r="T148" s="10"/>
      <c r="U148" s="10"/>
    </row>
    <row r="149" spans="1:21">
      <c r="A149" s="8">
        <f>A3</f>
        <v>0</v>
      </c>
      <c r="B149" s="11"/>
      <c r="C149" s="11"/>
      <c r="D149" s="11"/>
      <c r="E149" s="11"/>
      <c r="F149" s="11"/>
      <c r="G149" s="11"/>
      <c r="H149" s="90"/>
      <c r="I149" s="137"/>
      <c r="J149" s="90"/>
      <c r="K149" s="90"/>
      <c r="L149" s="90"/>
      <c r="M149" s="90"/>
      <c r="N149" s="90"/>
      <c r="O149" s="90"/>
      <c r="P149" s="90"/>
      <c r="Q149" s="90"/>
      <c r="R149" s="90"/>
      <c r="S149" s="90"/>
      <c r="T149" s="90"/>
      <c r="U149" s="90"/>
    </row>
    <row r="150" spans="1:21">
      <c r="B150" s="70"/>
      <c r="C150" s="70"/>
      <c r="D150" s="70"/>
      <c r="E150" s="70"/>
      <c r="H150" s="12"/>
      <c r="I150" s="12"/>
      <c r="J150" s="12"/>
      <c r="K150" s="12"/>
      <c r="L150" s="12"/>
      <c r="M150" s="12"/>
      <c r="N150" s="14"/>
      <c r="O150" s="14"/>
      <c r="P150" s="12"/>
      <c r="Q150" s="12"/>
    </row>
    <row r="151" spans="1:21">
      <c r="A151" s="69" t="s">
        <v>465</v>
      </c>
    </row>
    <row r="152" spans="1:21">
      <c r="A152" s="8" t="s">
        <v>8</v>
      </c>
      <c r="B152" s="225">
        <v>2004</v>
      </c>
      <c r="C152" s="225">
        <v>2005</v>
      </c>
      <c r="D152" s="225">
        <v>2006</v>
      </c>
      <c r="E152" s="225">
        <v>2007</v>
      </c>
      <c r="F152" s="225">
        <v>2008</v>
      </c>
      <c r="G152" s="225">
        <v>2009</v>
      </c>
      <c r="H152" s="225">
        <v>2010</v>
      </c>
      <c r="I152" s="398">
        <v>2011</v>
      </c>
      <c r="J152" s="433">
        <v>2012</v>
      </c>
      <c r="K152" s="108"/>
      <c r="L152" s="108"/>
      <c r="M152" s="108"/>
      <c r="N152" s="108"/>
      <c r="O152" s="108"/>
      <c r="P152" s="108"/>
    </row>
    <row r="153" spans="1:21">
      <c r="A153" s="8" t="s">
        <v>16</v>
      </c>
      <c r="B153" s="10">
        <v>308.71619934766608</v>
      </c>
      <c r="C153" s="10">
        <v>312.09927804852146</v>
      </c>
      <c r="D153" s="10">
        <v>316.25844740270571</v>
      </c>
      <c r="E153" s="10">
        <v>319.75619541284226</v>
      </c>
      <c r="F153" s="10">
        <v>322.84693772081488</v>
      </c>
      <c r="G153" s="10">
        <v>326.34180785995295</v>
      </c>
      <c r="H153" s="10">
        <v>329.27009346570185</v>
      </c>
      <c r="I153" s="10">
        <v>334.52503593478895</v>
      </c>
      <c r="J153" s="10">
        <v>340.88678353562369</v>
      </c>
      <c r="K153" s="90"/>
      <c r="L153" s="90"/>
      <c r="M153" s="90"/>
      <c r="N153" s="90"/>
      <c r="O153" s="90"/>
      <c r="P153" s="90"/>
      <c r="Q153" s="10"/>
      <c r="R153" s="10"/>
      <c r="S153" s="10"/>
      <c r="T153" s="10"/>
      <c r="U153" s="10"/>
    </row>
    <row r="154" spans="1:21">
      <c r="A154" s="8">
        <f>A2</f>
        <v>0</v>
      </c>
      <c r="B154" s="411"/>
      <c r="C154" s="411"/>
      <c r="D154" s="411"/>
      <c r="E154" s="411"/>
      <c r="F154" s="411"/>
      <c r="G154" s="411"/>
      <c r="H154" s="411"/>
      <c r="I154" s="411"/>
      <c r="J154" s="411"/>
      <c r="K154" s="90"/>
      <c r="L154" s="90"/>
      <c r="M154" s="90"/>
      <c r="N154" s="90"/>
      <c r="O154" s="90"/>
      <c r="P154" s="90"/>
      <c r="Q154" s="10"/>
      <c r="R154" s="10"/>
      <c r="S154" s="10"/>
      <c r="T154" s="10"/>
      <c r="U154" s="10"/>
    </row>
    <row r="155" spans="1:21">
      <c r="A155" s="8">
        <f>A3</f>
        <v>0</v>
      </c>
      <c r="B155" s="11"/>
      <c r="C155" s="11"/>
      <c r="D155" s="11"/>
      <c r="E155" s="11"/>
      <c r="F155" s="11"/>
      <c r="G155" s="11"/>
      <c r="H155" s="11"/>
      <c r="I155" s="11"/>
      <c r="J155" s="11"/>
      <c r="K155" s="90"/>
      <c r="L155" s="90"/>
      <c r="M155" s="90"/>
      <c r="N155" s="90"/>
      <c r="O155" s="90"/>
      <c r="P155" s="90"/>
      <c r="Q155" s="90"/>
      <c r="R155" s="90"/>
      <c r="S155" s="90"/>
      <c r="T155" s="90"/>
      <c r="U155" s="90"/>
    </row>
    <row r="156" spans="1:21">
      <c r="B156" s="70"/>
      <c r="C156" s="70"/>
      <c r="D156" s="70"/>
      <c r="E156" s="70"/>
      <c r="H156" s="12"/>
      <c r="I156" s="12"/>
      <c r="J156" s="12"/>
      <c r="K156" s="12"/>
      <c r="L156" s="12"/>
      <c r="M156" s="12"/>
      <c r="N156" s="14"/>
      <c r="O156" s="14"/>
      <c r="P156" s="12"/>
      <c r="Q156" s="12"/>
    </row>
    <row r="157" spans="1:21">
      <c r="A157" s="69" t="s">
        <v>311</v>
      </c>
    </row>
    <row r="158" spans="1:21">
      <c r="A158" s="8" t="s">
        <v>8</v>
      </c>
      <c r="B158" s="225">
        <v>1998</v>
      </c>
      <c r="C158" s="225">
        <v>1999</v>
      </c>
      <c r="D158" s="225">
        <v>2000</v>
      </c>
      <c r="E158" s="225">
        <v>2001</v>
      </c>
      <c r="F158" s="225">
        <v>2002</v>
      </c>
      <c r="G158" s="225">
        <v>2003</v>
      </c>
      <c r="H158" s="225">
        <v>2004</v>
      </c>
      <c r="I158" s="225">
        <v>2005</v>
      </c>
      <c r="J158" s="225">
        <v>2006</v>
      </c>
      <c r="K158" s="225">
        <v>2007</v>
      </c>
      <c r="L158" s="225">
        <v>2008</v>
      </c>
      <c r="M158" s="225">
        <v>2009</v>
      </c>
      <c r="N158" s="225">
        <v>2010</v>
      </c>
      <c r="O158" s="433">
        <v>2011</v>
      </c>
      <c r="P158" s="433">
        <v>2012</v>
      </c>
    </row>
    <row r="159" spans="1:21">
      <c r="A159" s="8" t="s">
        <v>16</v>
      </c>
      <c r="B159" s="10">
        <v>33.186267953026743</v>
      </c>
      <c r="C159" s="10">
        <v>34.962172723400066</v>
      </c>
      <c r="D159" s="10">
        <v>34.354886530410589</v>
      </c>
      <c r="E159" s="10">
        <v>34.894795727795106</v>
      </c>
      <c r="F159" s="10">
        <v>36.86292663223535</v>
      </c>
      <c r="G159" s="10">
        <v>39.217223418576992</v>
      </c>
      <c r="H159" s="10">
        <v>39.31552007156391</v>
      </c>
      <c r="I159" s="10">
        <v>36.508110015725045</v>
      </c>
      <c r="J159" s="10">
        <v>37.149912057226537</v>
      </c>
      <c r="K159" s="10">
        <v>36.700977346587649</v>
      </c>
      <c r="L159" s="10">
        <v>38.944779362794868</v>
      </c>
      <c r="M159" s="10">
        <v>38.714241067274862</v>
      </c>
      <c r="N159" s="10">
        <v>38.576858080817068</v>
      </c>
      <c r="O159" s="10">
        <v>37.942699049583254</v>
      </c>
      <c r="P159" s="10">
        <v>37.299297589801945</v>
      </c>
      <c r="Q159" s="10"/>
      <c r="R159" s="10"/>
      <c r="S159" s="10"/>
      <c r="T159" s="10"/>
      <c r="U159" s="10"/>
    </row>
    <row r="160" spans="1:21">
      <c r="A160" s="8">
        <f>A2</f>
        <v>0</v>
      </c>
      <c r="B160" s="411"/>
      <c r="C160" s="411"/>
      <c r="D160" s="411"/>
      <c r="E160" s="411"/>
      <c r="F160" s="411"/>
      <c r="G160" s="411"/>
      <c r="H160" s="411"/>
      <c r="I160" s="411"/>
      <c r="J160" s="411"/>
      <c r="K160" s="411"/>
      <c r="L160" s="411"/>
      <c r="M160" s="411"/>
      <c r="N160" s="411"/>
      <c r="O160" s="411"/>
      <c r="P160" s="411"/>
      <c r="Q160" s="10"/>
      <c r="R160" s="10"/>
      <c r="S160" s="10"/>
      <c r="T160" s="10"/>
      <c r="U160" s="10"/>
    </row>
    <row r="161" spans="1:21">
      <c r="A161" s="8">
        <f>A3</f>
        <v>0</v>
      </c>
      <c r="B161" s="11"/>
      <c r="C161" s="11"/>
      <c r="D161" s="11"/>
      <c r="E161" s="11"/>
      <c r="F161" s="11"/>
      <c r="G161" s="11"/>
      <c r="H161" s="11"/>
      <c r="I161" s="11"/>
      <c r="J161" s="11"/>
      <c r="K161" s="11"/>
      <c r="L161" s="11"/>
      <c r="M161" s="11"/>
      <c r="N161" s="11"/>
      <c r="O161" s="11"/>
      <c r="P161" s="11"/>
      <c r="Q161" s="90"/>
      <c r="R161" s="90"/>
      <c r="S161" s="90"/>
      <c r="T161" s="90"/>
      <c r="U161" s="90"/>
    </row>
    <row r="162" spans="1:21">
      <c r="B162" s="70"/>
      <c r="C162" s="70"/>
      <c r="D162" s="70"/>
      <c r="E162" s="70"/>
      <c r="H162" s="12"/>
      <c r="I162" s="12"/>
      <c r="J162" s="12"/>
      <c r="K162" s="12"/>
      <c r="L162" s="12"/>
      <c r="M162" s="12"/>
      <c r="N162" s="14"/>
      <c r="O162" s="348"/>
      <c r="P162" s="12"/>
      <c r="Q162" s="12"/>
    </row>
    <row r="163" spans="1:21">
      <c r="A163" s="69" t="s">
        <v>312</v>
      </c>
      <c r="O163" s="70"/>
    </row>
    <row r="164" spans="1:21">
      <c r="A164" s="8" t="s">
        <v>8</v>
      </c>
      <c r="B164" s="225">
        <v>1998</v>
      </c>
      <c r="C164" s="225">
        <v>1999</v>
      </c>
      <c r="D164" s="225">
        <v>2000</v>
      </c>
      <c r="E164" s="225">
        <v>2001</v>
      </c>
      <c r="F164" s="225">
        <v>2002</v>
      </c>
      <c r="G164" s="225">
        <v>2003</v>
      </c>
      <c r="H164" s="225">
        <v>2004</v>
      </c>
      <c r="I164" s="225">
        <v>2005</v>
      </c>
      <c r="J164" s="225">
        <v>2006</v>
      </c>
      <c r="K164" s="225">
        <v>2007</v>
      </c>
      <c r="L164" s="225">
        <v>2008</v>
      </c>
      <c r="M164" s="225">
        <v>2009</v>
      </c>
      <c r="N164" s="225">
        <v>2010</v>
      </c>
      <c r="O164" s="433">
        <v>2011</v>
      </c>
      <c r="P164" s="433">
        <v>2012</v>
      </c>
    </row>
    <row r="165" spans="1:21">
      <c r="A165" s="8" t="s">
        <v>16</v>
      </c>
      <c r="B165" s="10">
        <v>4.9892821715910234</v>
      </c>
      <c r="C165" s="10">
        <v>4.9392317908870451</v>
      </c>
      <c r="D165" s="10">
        <v>5.0657484629369511</v>
      </c>
      <c r="E165" s="10">
        <v>4.9073617798989178</v>
      </c>
      <c r="F165" s="10">
        <v>5.2893278034454294</v>
      </c>
      <c r="G165" s="10">
        <v>5.6446883268310462</v>
      </c>
      <c r="H165" s="10">
        <v>5.2454469717171497</v>
      </c>
      <c r="I165" s="10">
        <v>5.2191381962986112</v>
      </c>
      <c r="J165" s="10">
        <v>5.632789648107221</v>
      </c>
      <c r="K165" s="10">
        <v>5.5045809039062013</v>
      </c>
      <c r="L165" s="10">
        <v>5.7475260879142267</v>
      </c>
      <c r="M165" s="10">
        <v>5.7985837482494791</v>
      </c>
      <c r="N165" s="10">
        <v>5.8310678396368889</v>
      </c>
      <c r="O165" s="10">
        <v>5.5500150234753018</v>
      </c>
      <c r="P165" s="10">
        <v>5.1871759445481151</v>
      </c>
      <c r="Q165" s="10"/>
      <c r="R165" s="10"/>
      <c r="S165" s="10"/>
      <c r="T165" s="10"/>
      <c r="U165" s="10"/>
    </row>
    <row r="166" spans="1:21">
      <c r="A166" s="8">
        <f>A2</f>
        <v>0</v>
      </c>
      <c r="B166" s="411"/>
      <c r="C166" s="411"/>
      <c r="D166" s="411"/>
      <c r="E166" s="411"/>
      <c r="F166" s="411"/>
      <c r="G166" s="411"/>
      <c r="H166" s="411"/>
      <c r="I166" s="411"/>
      <c r="J166" s="411"/>
      <c r="K166" s="411"/>
      <c r="L166" s="411"/>
      <c r="M166" s="411"/>
      <c r="N166" s="411"/>
      <c r="O166" s="411"/>
      <c r="P166" s="411"/>
      <c r="Q166" s="10"/>
      <c r="R166" s="10"/>
      <c r="S166" s="10"/>
      <c r="T166" s="10"/>
      <c r="U166" s="10"/>
    </row>
    <row r="167" spans="1:21">
      <c r="A167" s="8">
        <f>A3</f>
        <v>0</v>
      </c>
      <c r="B167" s="11"/>
      <c r="C167" s="11"/>
      <c r="D167" s="11"/>
      <c r="E167" s="11"/>
      <c r="F167" s="11"/>
      <c r="G167" s="11"/>
      <c r="H167" s="11"/>
      <c r="I167" s="11"/>
      <c r="J167" s="11"/>
      <c r="K167" s="11"/>
      <c r="L167" s="11"/>
      <c r="M167" s="11"/>
      <c r="N167" s="11"/>
      <c r="O167" s="11"/>
      <c r="P167" s="11"/>
      <c r="Q167" s="90"/>
      <c r="R167" s="90"/>
      <c r="S167" s="90"/>
      <c r="T167" s="90"/>
      <c r="U167" s="90"/>
    </row>
    <row r="168" spans="1:21">
      <c r="B168" s="70"/>
      <c r="C168" s="70"/>
      <c r="D168" s="70"/>
      <c r="E168" s="70"/>
      <c r="H168" s="12"/>
      <c r="I168" s="12"/>
      <c r="J168" s="12"/>
      <c r="K168" s="12"/>
      <c r="L168" s="12"/>
      <c r="M168" s="12"/>
      <c r="N168" s="14"/>
      <c r="O168" s="348"/>
      <c r="P168" s="12"/>
      <c r="Q168" s="12"/>
    </row>
    <row r="169" spans="1:21">
      <c r="A169" s="69" t="s">
        <v>313</v>
      </c>
      <c r="O169" s="70"/>
    </row>
    <row r="170" spans="1:21">
      <c r="A170" s="8" t="s">
        <v>8</v>
      </c>
      <c r="B170" s="225">
        <v>1998</v>
      </c>
      <c r="C170" s="225">
        <v>1999</v>
      </c>
      <c r="D170" s="225">
        <v>2000</v>
      </c>
      <c r="E170" s="225">
        <v>2001</v>
      </c>
      <c r="F170" s="225">
        <v>2002</v>
      </c>
      <c r="G170" s="225">
        <v>2003</v>
      </c>
      <c r="H170" s="225">
        <v>2004</v>
      </c>
      <c r="I170" s="225">
        <v>2005</v>
      </c>
      <c r="J170" s="225">
        <v>2006</v>
      </c>
      <c r="K170" s="225">
        <v>2007</v>
      </c>
      <c r="L170" s="225">
        <v>2008</v>
      </c>
      <c r="M170" s="225">
        <v>2009</v>
      </c>
      <c r="N170" s="225">
        <v>2010</v>
      </c>
      <c r="O170" s="433">
        <v>2011</v>
      </c>
      <c r="P170" s="433">
        <v>2012</v>
      </c>
    </row>
    <row r="171" spans="1:21">
      <c r="A171" s="8" t="s">
        <v>16</v>
      </c>
      <c r="B171" s="10">
        <v>1.1615685020538793</v>
      </c>
      <c r="C171" s="10">
        <v>1.4717591322050008</v>
      </c>
      <c r="D171" s="10">
        <v>1.476784997659274</v>
      </c>
      <c r="E171" s="10">
        <v>1.5011896067825563</v>
      </c>
      <c r="F171" s="10">
        <v>1.6439292622721229</v>
      </c>
      <c r="G171" s="10">
        <v>2.0570505440036388</v>
      </c>
      <c r="H171" s="10">
        <v>1.9701147854208554</v>
      </c>
      <c r="I171" s="10">
        <v>1.8209262725661515</v>
      </c>
      <c r="J171" s="10">
        <v>1.8315585988921825</v>
      </c>
      <c r="K171" s="10">
        <v>1.8869297815905179</v>
      </c>
      <c r="L171" s="10">
        <v>1.9237298588845952</v>
      </c>
      <c r="M171" s="10">
        <v>1.6307446204044107</v>
      </c>
      <c r="N171" s="10">
        <v>1.7647000263173622</v>
      </c>
      <c r="O171" s="10">
        <v>1.8821056053613163</v>
      </c>
      <c r="P171" s="10">
        <v>2.1262469793214129</v>
      </c>
      <c r="Q171" s="10"/>
      <c r="R171" s="10"/>
      <c r="S171" s="10"/>
      <c r="T171" s="10"/>
      <c r="U171" s="10"/>
    </row>
    <row r="172" spans="1:21">
      <c r="A172" s="8">
        <f>A2</f>
        <v>0</v>
      </c>
      <c r="B172" s="411"/>
      <c r="C172" s="411"/>
      <c r="D172" s="411"/>
      <c r="E172" s="411"/>
      <c r="F172" s="411"/>
      <c r="G172" s="411"/>
      <c r="H172" s="411"/>
      <c r="I172" s="411"/>
      <c r="J172" s="411"/>
      <c r="K172" s="411"/>
      <c r="L172" s="411"/>
      <c r="M172" s="411"/>
      <c r="N172" s="411"/>
      <c r="O172" s="411"/>
      <c r="P172" s="411"/>
      <c r="Q172" s="10"/>
      <c r="R172" s="10"/>
      <c r="S172" s="10"/>
      <c r="T172" s="10"/>
      <c r="U172" s="10"/>
    </row>
    <row r="173" spans="1:21">
      <c r="A173" s="8">
        <f>A3</f>
        <v>0</v>
      </c>
      <c r="B173" s="11"/>
      <c r="C173" s="11"/>
      <c r="D173" s="11"/>
      <c r="E173" s="11"/>
      <c r="F173" s="11"/>
      <c r="G173" s="11"/>
      <c r="H173" s="11"/>
      <c r="I173" s="11"/>
      <c r="J173" s="11"/>
      <c r="K173" s="11"/>
      <c r="L173" s="11"/>
      <c r="M173" s="11"/>
      <c r="N173" s="11"/>
      <c r="O173" s="11"/>
      <c r="P173" s="11"/>
      <c r="Q173" s="90"/>
      <c r="R173" s="90"/>
      <c r="S173" s="90"/>
      <c r="T173" s="90"/>
      <c r="U173" s="90"/>
    </row>
    <row r="174" spans="1:21">
      <c r="B174" s="70"/>
      <c r="C174" s="70"/>
      <c r="D174" s="70"/>
      <c r="E174" s="70"/>
      <c r="H174" s="12"/>
      <c r="I174" s="12"/>
      <c r="J174" s="12"/>
      <c r="K174" s="12"/>
      <c r="L174" s="12"/>
      <c r="M174" s="12"/>
      <c r="N174" s="14"/>
      <c r="O174" s="14"/>
      <c r="P174" s="12"/>
      <c r="Q174" s="12"/>
    </row>
    <row r="175" spans="1:21">
      <c r="A175" s="8" t="s">
        <v>262</v>
      </c>
    </row>
    <row r="176" spans="1:21">
      <c r="B176" s="7"/>
      <c r="C176" s="7" t="s">
        <v>263</v>
      </c>
      <c r="D176" s="7" t="s">
        <v>264</v>
      </c>
      <c r="E176" s="7" t="s">
        <v>315</v>
      </c>
      <c r="F176" s="7" t="s">
        <v>265</v>
      </c>
      <c r="G176" s="438"/>
      <c r="H176" s="7"/>
    </row>
    <row r="177" spans="1:31">
      <c r="A177" s="8" t="s">
        <v>16</v>
      </c>
      <c r="B177" s="8">
        <v>2001</v>
      </c>
      <c r="C177" s="10">
        <v>26.162217687641416</v>
      </c>
      <c r="D177" s="10">
        <v>55.385216624855374</v>
      </c>
      <c r="E177" s="10">
        <v>11.841082025419523</v>
      </c>
      <c r="F177" s="10">
        <v>6.6114836620836863</v>
      </c>
      <c r="G177" s="419">
        <f>SUM(C177:F177)</f>
        <v>100</v>
      </c>
      <c r="H177" s="10"/>
      <c r="T177" s="10"/>
      <c r="U177" s="10"/>
      <c r="V177" s="10"/>
      <c r="W177" s="10"/>
      <c r="AA177" s="10"/>
      <c r="AB177" s="10"/>
      <c r="AC177" s="10"/>
      <c r="AD177" s="10"/>
      <c r="AE177" s="10"/>
    </row>
    <row r="178" spans="1:31">
      <c r="B178" s="8">
        <v>2011</v>
      </c>
      <c r="C178" s="90">
        <v>18.812084970163585</v>
      </c>
      <c r="D178" s="90">
        <v>54.940985532794286</v>
      </c>
      <c r="E178" s="90">
        <v>14.31920053513165</v>
      </c>
      <c r="F178" s="90">
        <v>11.927728961910486</v>
      </c>
      <c r="G178" s="419">
        <f t="shared" ref="G178:G182" si="15">SUM(C178:F178)</f>
        <v>100.00000000000001</v>
      </c>
      <c r="H178" s="10"/>
      <c r="T178" s="10"/>
      <c r="U178" s="10"/>
      <c r="V178" s="10"/>
      <c r="W178" s="10"/>
      <c r="AA178" s="10"/>
      <c r="AB178" s="10"/>
      <c r="AC178" s="10"/>
      <c r="AD178" s="10"/>
      <c r="AE178" s="10"/>
    </row>
    <row r="179" spans="1:31">
      <c r="A179" s="8">
        <f>A2</f>
        <v>0</v>
      </c>
      <c r="B179" s="8">
        <v>2001</v>
      </c>
      <c r="C179" s="411"/>
      <c r="D179" s="411"/>
      <c r="E179" s="411"/>
      <c r="F179" s="411"/>
      <c r="G179" s="419">
        <f t="shared" si="15"/>
        <v>0</v>
      </c>
      <c r="H179" s="10"/>
      <c r="T179" s="10"/>
      <c r="U179" s="10"/>
      <c r="V179" s="10"/>
      <c r="W179" s="10"/>
      <c r="AA179" s="10"/>
      <c r="AB179" s="10"/>
      <c r="AC179" s="10"/>
      <c r="AD179" s="10"/>
      <c r="AE179" s="10"/>
    </row>
    <row r="180" spans="1:31">
      <c r="B180" s="8">
        <v>2011</v>
      </c>
      <c r="C180" s="411"/>
      <c r="D180" s="411"/>
      <c r="E180" s="411"/>
      <c r="F180" s="411"/>
      <c r="G180" s="419">
        <f t="shared" si="15"/>
        <v>0</v>
      </c>
      <c r="T180" s="10"/>
      <c r="U180" s="10"/>
      <c r="V180" s="10"/>
      <c r="W180" s="10"/>
      <c r="AA180" s="10"/>
      <c r="AB180" s="10"/>
      <c r="AC180" s="10"/>
      <c r="AD180" s="10"/>
      <c r="AE180" s="10"/>
    </row>
    <row r="181" spans="1:31">
      <c r="A181" s="8">
        <f>A3</f>
        <v>0</v>
      </c>
      <c r="B181" s="8">
        <v>2001</v>
      </c>
      <c r="C181" s="11"/>
      <c r="D181" s="11"/>
      <c r="E181" s="11"/>
      <c r="F181" s="11"/>
      <c r="G181" s="419">
        <f t="shared" si="15"/>
        <v>0</v>
      </c>
      <c r="T181" s="10"/>
      <c r="U181" s="10"/>
      <c r="V181" s="10"/>
      <c r="W181" s="10"/>
      <c r="AA181" s="10"/>
      <c r="AB181" s="10"/>
      <c r="AC181" s="10"/>
      <c r="AD181" s="10"/>
      <c r="AE181" s="10"/>
    </row>
    <row r="182" spans="1:31">
      <c r="A182" s="70"/>
      <c r="B182" s="70">
        <v>2011</v>
      </c>
      <c r="C182" s="439"/>
      <c r="D182" s="439"/>
      <c r="E182" s="439"/>
      <c r="F182" s="439"/>
      <c r="G182" s="419">
        <f t="shared" si="15"/>
        <v>0</v>
      </c>
      <c r="H182" s="438"/>
      <c r="I182" s="438"/>
      <c r="J182" s="7"/>
      <c r="K182" s="7"/>
      <c r="L182" s="7"/>
      <c r="T182" s="10"/>
      <c r="U182" s="10"/>
      <c r="V182" s="10"/>
      <c r="W182" s="10"/>
      <c r="AA182" s="10"/>
      <c r="AB182" s="10"/>
      <c r="AC182" s="10"/>
      <c r="AD182" s="10"/>
      <c r="AE182" s="10"/>
    </row>
    <row r="183" spans="1:31">
      <c r="A183" s="70"/>
      <c r="B183" s="90"/>
      <c r="C183" s="90"/>
      <c r="D183" s="90"/>
      <c r="E183" s="90"/>
      <c r="F183" s="90"/>
      <c r="G183" s="90"/>
      <c r="H183" s="90"/>
      <c r="I183" s="90"/>
      <c r="J183" s="10"/>
      <c r="K183" s="10"/>
      <c r="L183" s="10"/>
    </row>
    <row r="184" spans="1:31">
      <c r="A184" s="70" t="s">
        <v>102</v>
      </c>
      <c r="B184" s="90"/>
      <c r="C184" s="90"/>
      <c r="D184" s="90"/>
      <c r="E184" s="90"/>
      <c r="F184" s="90"/>
      <c r="G184" s="90"/>
      <c r="H184" s="90"/>
      <c r="I184" s="90"/>
      <c r="J184" s="10"/>
      <c r="K184" s="10"/>
      <c r="L184" s="10"/>
    </row>
    <row r="185" spans="1:31" ht="54.95" customHeight="1">
      <c r="A185" s="70"/>
      <c r="B185" s="327" t="s">
        <v>320</v>
      </c>
      <c r="C185" s="327" t="s">
        <v>321</v>
      </c>
      <c r="D185" s="327" t="s">
        <v>318</v>
      </c>
      <c r="E185" s="327" t="s">
        <v>319</v>
      </c>
      <c r="F185" s="90" t="s">
        <v>472</v>
      </c>
      <c r="G185" s="90" t="s">
        <v>327</v>
      </c>
      <c r="H185" s="90" t="s">
        <v>328</v>
      </c>
      <c r="I185" s="90" t="s">
        <v>329</v>
      </c>
      <c r="J185" s="10" t="s">
        <v>473</v>
      </c>
      <c r="K185" s="10" t="s">
        <v>474</v>
      </c>
      <c r="L185" s="10" t="s">
        <v>325</v>
      </c>
      <c r="M185" s="10" t="s">
        <v>326</v>
      </c>
      <c r="N185" s="10" t="s">
        <v>331</v>
      </c>
      <c r="O185" s="10" t="s">
        <v>330</v>
      </c>
      <c r="P185" s="10" t="s">
        <v>332</v>
      </c>
    </row>
    <row r="186" spans="1:31">
      <c r="A186" s="8" t="s">
        <v>16</v>
      </c>
      <c r="B186" s="90">
        <v>2.71</v>
      </c>
      <c r="C186" s="90">
        <v>1.58</v>
      </c>
      <c r="D186" s="90">
        <v>8.93</v>
      </c>
      <c r="E186" s="90">
        <v>5.2</v>
      </c>
      <c r="F186" s="90">
        <v>879.62</v>
      </c>
      <c r="G186" s="90">
        <v>965.25</v>
      </c>
      <c r="H186" s="90">
        <v>1036.44</v>
      </c>
      <c r="I186" s="90">
        <v>1084.55</v>
      </c>
      <c r="J186" s="10">
        <v>101.76</v>
      </c>
      <c r="K186" s="10">
        <v>101.65</v>
      </c>
      <c r="L186" s="10">
        <v>100.52</v>
      </c>
      <c r="M186" s="8">
        <v>100.83</v>
      </c>
      <c r="N186" s="88">
        <v>95.182321477673753</v>
      </c>
      <c r="O186" s="88">
        <v>82.849050398611325</v>
      </c>
      <c r="P186" s="88">
        <v>72.619635504227304</v>
      </c>
    </row>
    <row r="187" spans="1:31">
      <c r="A187" s="410">
        <f>A2</f>
        <v>0</v>
      </c>
      <c r="B187" s="411"/>
      <c r="C187" s="411"/>
      <c r="D187" s="411"/>
      <c r="E187" s="411"/>
      <c r="F187" s="411"/>
      <c r="G187" s="411"/>
      <c r="H187" s="411"/>
      <c r="I187" s="411"/>
      <c r="J187" s="411"/>
      <c r="K187" s="411"/>
      <c r="L187" s="411"/>
      <c r="M187" s="411"/>
      <c r="N187" s="412"/>
      <c r="O187" s="412"/>
      <c r="P187" s="412"/>
    </row>
    <row r="188" spans="1:31">
      <c r="A188" s="13">
        <f>A3</f>
        <v>0</v>
      </c>
      <c r="B188" s="11"/>
      <c r="C188" s="11"/>
      <c r="D188" s="11"/>
      <c r="E188" s="11"/>
      <c r="F188" s="11"/>
      <c r="G188" s="11"/>
      <c r="H188" s="11"/>
      <c r="I188" s="11"/>
      <c r="J188" s="11"/>
      <c r="K188" s="11"/>
      <c r="L188" s="11"/>
      <c r="M188" s="11"/>
      <c r="N188" s="89"/>
      <c r="O188" s="89"/>
      <c r="P188" s="89"/>
    </row>
    <row r="189" spans="1:31">
      <c r="A189" s="218"/>
      <c r="B189" s="345"/>
      <c r="C189" s="345"/>
      <c r="D189" s="345"/>
      <c r="E189" s="345"/>
      <c r="F189" s="345"/>
      <c r="G189" s="345"/>
      <c r="H189" s="345"/>
      <c r="I189" s="345"/>
      <c r="J189" s="345"/>
      <c r="K189" s="345"/>
      <c r="L189" s="345"/>
      <c r="M189" s="345"/>
      <c r="N189" s="345"/>
      <c r="O189" s="345"/>
      <c r="P189" s="345"/>
    </row>
    <row r="190" spans="1:31">
      <c r="A190" s="218"/>
      <c r="B190" s="345"/>
      <c r="C190" s="345"/>
      <c r="D190" s="345"/>
      <c r="E190" s="345"/>
      <c r="F190" s="345"/>
      <c r="G190" s="345"/>
      <c r="H190" s="345"/>
      <c r="I190" s="345"/>
      <c r="J190" s="345"/>
      <c r="K190" s="345"/>
      <c r="L190" s="345"/>
      <c r="M190" s="345"/>
      <c r="N190" s="345"/>
      <c r="O190" s="345"/>
      <c r="P190" s="345"/>
    </row>
    <row r="191" spans="1:31">
      <c r="A191" s="218"/>
      <c r="B191" s="345"/>
      <c r="C191" s="345"/>
      <c r="D191" s="345"/>
      <c r="E191" s="345"/>
      <c r="F191" s="345"/>
      <c r="G191" s="345"/>
      <c r="H191" s="345"/>
      <c r="I191" s="345"/>
      <c r="J191" s="345"/>
      <c r="K191" s="345"/>
      <c r="L191" s="345"/>
      <c r="M191" s="345"/>
      <c r="N191" s="345"/>
      <c r="O191" s="345"/>
      <c r="P191" s="345"/>
    </row>
    <row r="192" spans="1:31">
      <c r="A192" s="218"/>
      <c r="B192" s="345"/>
      <c r="C192" s="345"/>
      <c r="D192" s="345"/>
      <c r="E192" s="345"/>
      <c r="F192" s="345"/>
      <c r="G192" s="345"/>
      <c r="H192" s="345"/>
      <c r="I192" s="345"/>
      <c r="J192" s="345"/>
      <c r="K192" s="345"/>
      <c r="L192" s="345"/>
      <c r="M192" s="345"/>
      <c r="N192" s="345"/>
      <c r="O192" s="345"/>
      <c r="P192" s="345"/>
    </row>
    <row r="193" spans="1:16">
      <c r="A193" s="218"/>
      <c r="B193" s="345"/>
      <c r="C193" s="345"/>
      <c r="D193" s="345"/>
      <c r="E193" s="345"/>
      <c r="F193" s="345"/>
      <c r="G193" s="345"/>
      <c r="H193" s="345"/>
      <c r="I193" s="345"/>
      <c r="J193" s="345"/>
      <c r="K193" s="345"/>
      <c r="L193" s="345"/>
      <c r="M193" s="345"/>
      <c r="N193" s="345"/>
      <c r="O193" s="345"/>
      <c r="P193" s="345"/>
    </row>
    <row r="194" spans="1:16">
      <c r="A194" s="218"/>
      <c r="B194" s="345"/>
      <c r="C194" s="345"/>
      <c r="D194" s="345"/>
      <c r="E194" s="345"/>
      <c r="F194" s="345"/>
      <c r="G194" s="345"/>
      <c r="H194" s="345"/>
      <c r="I194" s="345"/>
      <c r="J194" s="345"/>
      <c r="K194" s="345"/>
      <c r="L194" s="345"/>
      <c r="M194" s="345"/>
      <c r="N194" s="345"/>
      <c r="O194" s="345"/>
      <c r="P194" s="345"/>
    </row>
    <row r="195" spans="1:16">
      <c r="A195" s="218"/>
      <c r="B195" s="345"/>
      <c r="C195" s="345"/>
      <c r="D195" s="345"/>
      <c r="E195" s="345"/>
      <c r="F195" s="345"/>
      <c r="G195" s="345"/>
      <c r="H195" s="345"/>
      <c r="I195" s="345"/>
      <c r="J195" s="345"/>
      <c r="K195" s="345"/>
      <c r="L195" s="345"/>
      <c r="M195" s="345"/>
      <c r="N195" s="345"/>
      <c r="O195" s="345"/>
      <c r="P195" s="345"/>
    </row>
    <row r="196" spans="1:16">
      <c r="A196" s="218"/>
      <c r="B196" s="345"/>
      <c r="C196" s="345"/>
      <c r="D196" s="345"/>
      <c r="E196" s="345"/>
      <c r="F196" s="345"/>
      <c r="G196" s="345"/>
      <c r="H196" s="345"/>
      <c r="I196" s="345"/>
      <c r="J196" s="345"/>
      <c r="K196" s="345"/>
      <c r="L196" s="345"/>
      <c r="M196" s="345"/>
      <c r="N196" s="345"/>
      <c r="O196" s="345"/>
      <c r="P196" s="345"/>
    </row>
    <row r="197" spans="1:16">
      <c r="A197" s="218"/>
      <c r="B197" s="345"/>
      <c r="C197" s="345"/>
      <c r="D197" s="345"/>
      <c r="E197" s="345"/>
      <c r="F197" s="345"/>
      <c r="G197" s="345"/>
      <c r="H197" s="345"/>
      <c r="I197" s="345"/>
      <c r="J197" s="345"/>
      <c r="K197" s="345"/>
      <c r="L197" s="345"/>
      <c r="M197" s="345"/>
      <c r="N197" s="345"/>
      <c r="O197" s="345"/>
      <c r="P197" s="345"/>
    </row>
    <row r="198" spans="1:16">
      <c r="A198" s="218"/>
      <c r="B198" s="345"/>
      <c r="C198" s="345"/>
      <c r="D198" s="345"/>
      <c r="E198" s="345"/>
      <c r="F198" s="345"/>
      <c r="G198" s="345"/>
      <c r="H198" s="345"/>
      <c r="I198" s="345"/>
      <c r="J198" s="345"/>
      <c r="K198" s="345"/>
      <c r="L198" s="345"/>
      <c r="M198" s="345"/>
      <c r="N198" s="345"/>
      <c r="O198" s="345"/>
      <c r="P198" s="345"/>
    </row>
    <row r="199" spans="1:16">
      <c r="A199" s="218"/>
      <c r="B199" s="345"/>
      <c r="C199" s="345"/>
      <c r="D199" s="345"/>
      <c r="E199" s="345"/>
      <c r="F199" s="345"/>
      <c r="G199" s="345"/>
      <c r="H199" s="345"/>
      <c r="I199" s="345"/>
      <c r="J199" s="345"/>
      <c r="K199" s="345"/>
      <c r="L199" s="345"/>
      <c r="M199" s="345"/>
      <c r="N199" s="345"/>
      <c r="O199" s="345"/>
      <c r="P199" s="345"/>
    </row>
    <row r="200" spans="1:16">
      <c r="A200" s="218"/>
      <c r="B200" s="345"/>
      <c r="C200" s="345"/>
      <c r="D200" s="345"/>
      <c r="E200" s="345"/>
      <c r="F200" s="345"/>
      <c r="G200" s="345"/>
      <c r="H200" s="345"/>
      <c r="I200" s="345"/>
      <c r="J200" s="345"/>
      <c r="K200" s="345"/>
      <c r="L200" s="345"/>
      <c r="M200" s="345"/>
      <c r="N200" s="345"/>
      <c r="O200" s="345"/>
      <c r="P200" s="345"/>
    </row>
    <row r="201" spans="1:16">
      <c r="A201" s="218"/>
      <c r="B201" s="345"/>
      <c r="C201" s="345"/>
      <c r="D201" s="345"/>
      <c r="E201" s="345"/>
      <c r="F201" s="345"/>
      <c r="G201" s="345"/>
      <c r="H201" s="345"/>
      <c r="I201" s="345"/>
      <c r="J201" s="345"/>
      <c r="K201" s="345"/>
      <c r="L201" s="345"/>
      <c r="M201" s="345"/>
      <c r="N201" s="345"/>
      <c r="O201" s="345"/>
      <c r="P201" s="345"/>
    </row>
    <row r="202" spans="1:16">
      <c r="A202" s="218"/>
      <c r="B202" s="345"/>
      <c r="C202" s="345"/>
      <c r="D202" s="345"/>
      <c r="E202" s="345"/>
      <c r="F202" s="345"/>
      <c r="G202" s="345"/>
      <c r="H202" s="345"/>
      <c r="I202" s="345"/>
      <c r="J202" s="345"/>
      <c r="K202" s="345"/>
      <c r="L202" s="345"/>
      <c r="M202" s="345"/>
      <c r="N202" s="345"/>
      <c r="O202" s="345"/>
      <c r="P202" s="345"/>
    </row>
    <row r="203" spans="1:16">
      <c r="A203" s="218"/>
      <c r="B203" s="345"/>
      <c r="C203" s="345"/>
      <c r="D203" s="345"/>
      <c r="E203" s="345"/>
      <c r="F203" s="345"/>
      <c r="G203" s="345"/>
      <c r="H203" s="345"/>
      <c r="I203" s="345"/>
      <c r="J203" s="345"/>
      <c r="K203" s="345"/>
      <c r="L203" s="345"/>
      <c r="M203" s="345"/>
      <c r="N203" s="345"/>
      <c r="O203" s="345"/>
      <c r="P203" s="345"/>
    </row>
    <row r="204" spans="1:16">
      <c r="A204" s="70"/>
      <c r="B204" s="90"/>
      <c r="C204" s="90"/>
      <c r="D204" s="90"/>
      <c r="E204" s="90"/>
      <c r="F204" s="90"/>
      <c r="G204" s="90"/>
      <c r="H204" s="90"/>
      <c r="I204" s="90"/>
      <c r="J204" s="10"/>
      <c r="K204" s="10"/>
      <c r="L204" s="10"/>
    </row>
    <row r="206" spans="1:16">
      <c r="A206" s="234" t="str">
        <f>INDICE!C28</f>
        <v>QUE ESCOLHAS FAZEMOS?</v>
      </c>
    </row>
    <row r="208" spans="1:16">
      <c r="A208" s="69" t="s">
        <v>469</v>
      </c>
    </row>
    <row r="209" spans="1:21">
      <c r="A209" s="9" t="s">
        <v>8</v>
      </c>
      <c r="B209" s="72" t="s">
        <v>42</v>
      </c>
      <c r="C209" s="72" t="s">
        <v>43</v>
      </c>
      <c r="D209" s="72" t="s">
        <v>44</v>
      </c>
      <c r="E209" s="72" t="s">
        <v>45</v>
      </c>
      <c r="F209" s="72" t="s">
        <v>46</v>
      </c>
      <c r="G209" s="72" t="s">
        <v>20</v>
      </c>
      <c r="H209" s="72" t="s">
        <v>21</v>
      </c>
      <c r="I209" s="72" t="s">
        <v>22</v>
      </c>
      <c r="J209" s="72" t="s">
        <v>47</v>
      </c>
      <c r="K209" s="72" t="s">
        <v>48</v>
      </c>
      <c r="L209" s="72" t="s">
        <v>172</v>
      </c>
      <c r="M209" s="72" t="s">
        <v>129</v>
      </c>
      <c r="N209" s="72" t="s">
        <v>173</v>
      </c>
      <c r="O209" s="328" t="s">
        <v>212</v>
      </c>
      <c r="P209" s="328" t="s">
        <v>297</v>
      </c>
    </row>
    <row r="210" spans="1:21">
      <c r="A210" s="8" t="s">
        <v>16</v>
      </c>
      <c r="B210" s="10">
        <v>6.6005100623690121</v>
      </c>
      <c r="C210" s="10">
        <v>6.3397377665198098</v>
      </c>
      <c r="D210" s="10">
        <v>6.1570719392151858</v>
      </c>
      <c r="E210" s="10">
        <v>5.9997934248339799</v>
      </c>
      <c r="F210" s="10">
        <v>5.8386104412038211</v>
      </c>
      <c r="G210" s="10">
        <v>5.5742701065430982</v>
      </c>
      <c r="H210" s="10">
        <v>5.3239669785637629</v>
      </c>
      <c r="I210" s="10">
        <v>5.0479133182728839</v>
      </c>
      <c r="J210" s="10">
        <v>4.7920976889590854</v>
      </c>
      <c r="K210" s="10">
        <v>4.5957781495577521</v>
      </c>
      <c r="L210" s="10">
        <v>4.3757926241566478</v>
      </c>
      <c r="M210" s="10">
        <v>4.2810000482249766</v>
      </c>
      <c r="N210" s="10">
        <v>4.0706148925440573</v>
      </c>
      <c r="O210" s="10">
        <v>3.8928543581964714</v>
      </c>
      <c r="P210" s="10">
        <v>3.7006663249615581</v>
      </c>
      <c r="Q210" s="90"/>
      <c r="R210" s="90"/>
      <c r="S210" s="90"/>
      <c r="T210" s="90"/>
      <c r="U210" s="90"/>
    </row>
    <row r="211" spans="1:21">
      <c r="A211" s="8">
        <f>A2</f>
        <v>0</v>
      </c>
      <c r="B211" s="411"/>
      <c r="C211" s="411"/>
      <c r="D211" s="411"/>
      <c r="E211" s="411"/>
      <c r="F211" s="411"/>
      <c r="G211" s="411"/>
      <c r="H211" s="411"/>
      <c r="I211" s="411"/>
      <c r="J211" s="411"/>
      <c r="K211" s="411"/>
      <c r="L211" s="411"/>
      <c r="M211" s="411"/>
      <c r="N211" s="411"/>
      <c r="O211" s="411"/>
      <c r="P211" s="411"/>
      <c r="Q211" s="90"/>
      <c r="R211" s="90"/>
      <c r="S211" s="90"/>
      <c r="T211" s="90"/>
      <c r="U211" s="90"/>
    </row>
    <row r="212" spans="1:21">
      <c r="A212" s="8">
        <f>A3</f>
        <v>0</v>
      </c>
      <c r="B212" s="11"/>
      <c r="C212" s="11"/>
      <c r="D212" s="11"/>
      <c r="E212" s="11"/>
      <c r="F212" s="11"/>
      <c r="G212" s="11"/>
      <c r="H212" s="11"/>
      <c r="I212" s="11"/>
      <c r="J212" s="11"/>
      <c r="K212" s="11"/>
      <c r="L212" s="11"/>
      <c r="M212" s="11"/>
      <c r="N212" s="11"/>
      <c r="O212" s="11"/>
      <c r="P212" s="11"/>
      <c r="Q212" s="90"/>
      <c r="R212" s="90"/>
      <c r="S212" s="90"/>
      <c r="T212" s="90"/>
      <c r="U212" s="90"/>
    </row>
    <row r="213" spans="1:21">
      <c r="B213" s="70"/>
      <c r="C213" s="70"/>
      <c r="D213" s="70"/>
      <c r="E213" s="70"/>
      <c r="H213" s="12"/>
      <c r="I213" s="12"/>
      <c r="J213" s="12"/>
      <c r="K213" s="12"/>
      <c r="L213" s="12"/>
      <c r="M213" s="12"/>
      <c r="N213" s="14"/>
      <c r="O213" s="14"/>
      <c r="P213" s="14"/>
      <c r="Q213" s="12"/>
    </row>
    <row r="214" spans="1:21">
      <c r="A214" s="69" t="s">
        <v>470</v>
      </c>
    </row>
    <row r="215" spans="1:21">
      <c r="A215" s="9" t="s">
        <v>8</v>
      </c>
      <c r="B215" s="72" t="s">
        <v>42</v>
      </c>
      <c r="C215" s="72" t="s">
        <v>43</v>
      </c>
      <c r="D215" s="72" t="s">
        <v>44</v>
      </c>
      <c r="E215" s="72" t="s">
        <v>45</v>
      </c>
      <c r="F215" s="72" t="s">
        <v>46</v>
      </c>
      <c r="G215" s="72" t="s">
        <v>20</v>
      </c>
      <c r="H215" s="72" t="s">
        <v>21</v>
      </c>
      <c r="I215" s="72" t="s">
        <v>22</v>
      </c>
      <c r="J215" s="72" t="s">
        <v>47</v>
      </c>
      <c r="K215" s="72" t="s">
        <v>48</v>
      </c>
      <c r="L215" s="72" t="s">
        <v>172</v>
      </c>
      <c r="M215" s="72" t="s">
        <v>129</v>
      </c>
      <c r="N215" s="72" t="s">
        <v>173</v>
      </c>
      <c r="O215" s="328" t="s">
        <v>212</v>
      </c>
      <c r="P215" s="328" t="s">
        <v>297</v>
      </c>
    </row>
    <row r="216" spans="1:21">
      <c r="A216" s="8" t="s">
        <v>16</v>
      </c>
      <c r="B216" s="10">
        <v>11.02852056662374</v>
      </c>
      <c r="C216" s="10">
        <v>11.798646356852082</v>
      </c>
      <c r="D216" s="10">
        <v>12.542026241367173</v>
      </c>
      <c r="E216" s="10">
        <v>13.286124832157679</v>
      </c>
      <c r="F216" s="10">
        <v>13.845586284905897</v>
      </c>
      <c r="G216" s="10">
        <v>14.458886330137144</v>
      </c>
      <c r="H216" s="10">
        <v>15.038412755363781</v>
      </c>
      <c r="I216" s="10">
        <v>15.711222804119362</v>
      </c>
      <c r="J216" s="10">
        <v>16.519276078344351</v>
      </c>
      <c r="K216" s="10">
        <v>17.424297969059317</v>
      </c>
      <c r="L216" s="10">
        <v>18.401393327584167</v>
      </c>
      <c r="M216" s="10">
        <v>19.432598706192774</v>
      </c>
      <c r="N216" s="10">
        <v>20.605566570183136</v>
      </c>
      <c r="O216" s="10">
        <v>22.210605405482035</v>
      </c>
      <c r="P216" s="10">
        <v>23.650142783920334</v>
      </c>
      <c r="Q216" s="90"/>
      <c r="R216" s="90"/>
      <c r="S216" s="90"/>
      <c r="T216" s="90"/>
      <c r="U216" s="90"/>
    </row>
    <row r="217" spans="1:21">
      <c r="A217" s="8">
        <f>A2</f>
        <v>0</v>
      </c>
      <c r="B217" s="411"/>
      <c r="C217" s="411"/>
      <c r="D217" s="411"/>
      <c r="E217" s="411"/>
      <c r="F217" s="411"/>
      <c r="G217" s="411"/>
      <c r="H217" s="411"/>
      <c r="I217" s="411"/>
      <c r="J217" s="411"/>
      <c r="K217" s="411"/>
      <c r="L217" s="411"/>
      <c r="M217" s="411"/>
      <c r="N217" s="411"/>
      <c r="O217" s="411"/>
      <c r="P217" s="411"/>
      <c r="Q217" s="90"/>
      <c r="R217" s="90"/>
      <c r="S217" s="90"/>
      <c r="T217" s="90"/>
      <c r="U217" s="90"/>
    </row>
    <row r="218" spans="1:21">
      <c r="A218" s="8">
        <f>A3</f>
        <v>0</v>
      </c>
      <c r="B218" s="11"/>
      <c r="C218" s="11"/>
      <c r="D218" s="11"/>
      <c r="E218" s="11"/>
      <c r="F218" s="11"/>
      <c r="G218" s="11"/>
      <c r="H218" s="11"/>
      <c r="I218" s="11"/>
      <c r="J218" s="11"/>
      <c r="K218" s="11"/>
      <c r="L218" s="11"/>
      <c r="M218" s="11"/>
      <c r="N218" s="11"/>
      <c r="O218" s="11"/>
      <c r="P218" s="11"/>
      <c r="Q218" s="90"/>
      <c r="R218" s="90"/>
      <c r="S218" s="90"/>
      <c r="T218" s="90"/>
      <c r="U218" s="90"/>
    </row>
    <row r="219" spans="1:21">
      <c r="A219" s="70"/>
      <c r="B219" s="90"/>
      <c r="C219" s="90"/>
      <c r="D219" s="90"/>
      <c r="E219" s="90"/>
      <c r="F219" s="90"/>
      <c r="G219" s="90"/>
      <c r="H219" s="90"/>
      <c r="I219" s="90"/>
      <c r="J219" s="90"/>
      <c r="K219" s="90"/>
      <c r="L219" s="90"/>
      <c r="M219" s="90"/>
      <c r="N219" s="90"/>
      <c r="O219" s="90"/>
      <c r="P219" s="90"/>
      <c r="Q219" s="90"/>
      <c r="R219" s="90"/>
      <c r="S219" s="90"/>
      <c r="T219" s="90"/>
      <c r="U219" s="90"/>
    </row>
    <row r="220" spans="1:21">
      <c r="A220" s="452" t="s">
        <v>333</v>
      </c>
      <c r="B220" s="90"/>
      <c r="C220" s="90"/>
      <c r="D220" s="90"/>
      <c r="E220" s="90"/>
      <c r="F220" s="90"/>
      <c r="G220" s="90"/>
      <c r="H220" s="90"/>
      <c r="I220" s="90"/>
      <c r="J220" s="90"/>
      <c r="K220" s="90"/>
      <c r="L220" s="90"/>
      <c r="M220" s="90"/>
      <c r="N220" s="90"/>
      <c r="O220" s="90"/>
      <c r="P220" s="90"/>
      <c r="Q220" s="90"/>
      <c r="R220" s="90"/>
      <c r="S220" s="90"/>
      <c r="T220" s="90"/>
      <c r="U220" s="90"/>
    </row>
    <row r="221" spans="1:21">
      <c r="A221" s="455" t="s">
        <v>334</v>
      </c>
      <c r="B221" s="90"/>
      <c r="C221" s="90"/>
      <c r="D221" s="90"/>
      <c r="E221" s="90"/>
      <c r="F221" s="90"/>
      <c r="G221" s="90"/>
      <c r="H221" s="90"/>
      <c r="I221" s="90"/>
      <c r="J221" s="90"/>
      <c r="K221" s="90"/>
      <c r="L221" s="90"/>
      <c r="M221" s="90"/>
      <c r="N221" s="90"/>
      <c r="O221" s="90"/>
      <c r="P221" s="90"/>
      <c r="Q221" s="90"/>
      <c r="R221" s="90"/>
      <c r="S221" s="90"/>
      <c r="T221" s="90"/>
      <c r="U221" s="90"/>
    </row>
    <row r="222" spans="1:21">
      <c r="A222" s="70"/>
      <c r="B222" s="90"/>
      <c r="C222" s="90"/>
      <c r="D222" s="90"/>
      <c r="E222" s="90"/>
      <c r="F222" s="90"/>
      <c r="G222" s="90"/>
      <c r="H222" s="90"/>
      <c r="I222" s="90"/>
      <c r="J222" s="90"/>
      <c r="K222" s="90"/>
      <c r="L222" s="90"/>
      <c r="M222" s="90"/>
      <c r="N222" s="90"/>
      <c r="O222" s="90"/>
      <c r="P222" s="90"/>
      <c r="Q222" s="90"/>
      <c r="R222" s="90"/>
      <c r="S222" s="90"/>
      <c r="T222" s="90"/>
      <c r="U222" s="90"/>
    </row>
    <row r="223" spans="1:21">
      <c r="A223" s="70"/>
      <c r="B223" s="90"/>
      <c r="C223" s="90"/>
      <c r="D223" s="90"/>
      <c r="E223" s="90"/>
      <c r="F223" s="90"/>
      <c r="G223" s="90"/>
      <c r="H223" s="90"/>
      <c r="I223" s="90"/>
      <c r="J223" s="90"/>
      <c r="K223" s="90"/>
      <c r="L223" s="90"/>
      <c r="M223" s="90"/>
      <c r="N223" s="90"/>
      <c r="O223" s="90"/>
      <c r="P223" s="90"/>
      <c r="Q223" s="90"/>
      <c r="R223" s="90"/>
      <c r="S223" s="90"/>
      <c r="T223" s="90"/>
      <c r="U223" s="90"/>
    </row>
    <row r="224" spans="1:21">
      <c r="A224" s="70"/>
      <c r="B224" s="90"/>
      <c r="C224" s="90"/>
      <c r="D224" s="90"/>
      <c r="E224" s="90"/>
      <c r="F224" s="90"/>
      <c r="G224" s="90"/>
      <c r="H224" s="90"/>
      <c r="I224" s="90"/>
      <c r="J224" s="90"/>
      <c r="K224" s="90"/>
      <c r="L224" s="90"/>
      <c r="M224" s="90"/>
      <c r="N224" s="90"/>
      <c r="O224" s="90"/>
      <c r="P224" s="90"/>
      <c r="Q224" s="90"/>
      <c r="R224" s="90"/>
      <c r="S224" s="90"/>
      <c r="T224" s="90"/>
      <c r="U224" s="90"/>
    </row>
    <row r="225" spans="1:32">
      <c r="A225" s="70" t="s">
        <v>335</v>
      </c>
      <c r="B225" s="90"/>
      <c r="C225" s="90"/>
      <c r="D225" s="90"/>
      <c r="E225" s="90"/>
      <c r="F225" s="90"/>
      <c r="G225" s="90"/>
      <c r="H225" s="90"/>
      <c r="I225" s="90"/>
      <c r="J225" s="90"/>
      <c r="K225" s="90"/>
      <c r="L225" s="90"/>
      <c r="M225" s="90"/>
      <c r="N225" s="90"/>
      <c r="O225" s="90"/>
      <c r="P225" s="90"/>
      <c r="Q225" s="90"/>
      <c r="R225" s="90"/>
      <c r="S225" s="90"/>
      <c r="T225" s="90"/>
      <c r="U225" s="90"/>
    </row>
    <row r="226" spans="1:32">
      <c r="A226" s="70"/>
      <c r="B226" s="90"/>
      <c r="D226" s="90" t="s">
        <v>16</v>
      </c>
      <c r="E226" s="90"/>
      <c r="F226" s="90"/>
      <c r="G226" s="90">
        <f>A2</f>
        <v>0</v>
      </c>
      <c r="H226" s="90"/>
      <c r="I226" s="90"/>
      <c r="J226" s="90">
        <f>C5</f>
        <v>0</v>
      </c>
      <c r="K226" s="90"/>
      <c r="L226" s="90"/>
      <c r="M226" s="90" t="str">
        <f>IF(B5=2,D5,"")</f>
        <v/>
      </c>
      <c r="N226" s="90"/>
      <c r="O226" s="90"/>
      <c r="P226" s="90"/>
      <c r="R226" s="90"/>
      <c r="U226" s="90" t="s">
        <v>16</v>
      </c>
      <c r="V226" s="90"/>
      <c r="W226" s="90"/>
      <c r="X226" s="90">
        <f>A2</f>
        <v>0</v>
      </c>
      <c r="Y226" s="90"/>
      <c r="Z226" s="90"/>
      <c r="AA226" s="90">
        <f>C5</f>
        <v>0</v>
      </c>
      <c r="AB226" s="90"/>
      <c r="AC226" s="90"/>
      <c r="AD226" s="90" t="str">
        <f>IF(B5=2,D5,"")</f>
        <v/>
      </c>
      <c r="AE226" s="90"/>
      <c r="AF226" s="90"/>
    </row>
    <row r="227" spans="1:32">
      <c r="A227" s="70"/>
      <c r="B227" s="90" t="s">
        <v>343</v>
      </c>
      <c r="C227" s="8" t="s">
        <v>342</v>
      </c>
      <c r="D227" s="90" t="s">
        <v>13</v>
      </c>
      <c r="E227" s="90" t="s">
        <v>14</v>
      </c>
      <c r="F227" s="90" t="s">
        <v>15</v>
      </c>
      <c r="G227" s="90" t="s">
        <v>13</v>
      </c>
      <c r="H227" s="90" t="s">
        <v>14</v>
      </c>
      <c r="I227" s="90" t="s">
        <v>15</v>
      </c>
      <c r="J227" s="90" t="s">
        <v>13</v>
      </c>
      <c r="K227" s="90" t="s">
        <v>14</v>
      </c>
      <c r="L227" s="90" t="s">
        <v>15</v>
      </c>
      <c r="M227" s="90" t="s">
        <v>13</v>
      </c>
      <c r="N227" s="90" t="s">
        <v>14</v>
      </c>
      <c r="O227" s="90" t="s">
        <v>15</v>
      </c>
      <c r="P227" s="90"/>
      <c r="R227" s="90"/>
      <c r="U227" s="90" t="s">
        <v>13</v>
      </c>
      <c r="V227" s="90" t="s">
        <v>14</v>
      </c>
      <c r="W227" s="90" t="s">
        <v>15</v>
      </c>
      <c r="X227" s="90" t="s">
        <v>13</v>
      </c>
      <c r="Y227" s="90" t="s">
        <v>14</v>
      </c>
      <c r="Z227" s="90" t="s">
        <v>15</v>
      </c>
      <c r="AA227" s="90" t="s">
        <v>13</v>
      </c>
      <c r="AB227" s="90" t="s">
        <v>14</v>
      </c>
      <c r="AC227" s="90" t="s">
        <v>15</v>
      </c>
      <c r="AD227" s="90" t="s">
        <v>13</v>
      </c>
      <c r="AE227" s="90" t="s">
        <v>14</v>
      </c>
      <c r="AF227" s="90" t="s">
        <v>15</v>
      </c>
    </row>
    <row r="228" spans="1:32">
      <c r="A228" s="70">
        <f>RANK(P228,$P$228:$P$231,0)</f>
        <v>1</v>
      </c>
      <c r="B228" s="90" t="s">
        <v>336</v>
      </c>
      <c r="C228" s="8" t="s">
        <v>340</v>
      </c>
      <c r="D228" s="90">
        <v>0.97825492539290915</v>
      </c>
      <c r="E228" s="90">
        <v>1.810148156349255</v>
      </c>
      <c r="F228" s="90">
        <v>0.23457703374756084</v>
      </c>
      <c r="G228" s="411"/>
      <c r="H228" s="411"/>
      <c r="I228" s="411"/>
      <c r="J228" s="11"/>
      <c r="K228" s="11"/>
      <c r="L228" s="11"/>
      <c r="M228" s="11"/>
      <c r="N228" s="11"/>
      <c r="O228" s="11"/>
      <c r="P228" s="476">
        <f>(J228+M228)/2</f>
        <v>0</v>
      </c>
      <c r="R228" s="137">
        <v>1</v>
      </c>
      <c r="S228" s="90" t="str">
        <f>VLOOKUP(R228,$A$228:$O$231,2,FALSE)</f>
        <v>Abuso crónico do álcool (P15)</v>
      </c>
      <c r="T228" s="90" t="str">
        <f>VLOOKUP(R228,$A$228:$O$231,3,FALSE)</f>
        <v>P15</v>
      </c>
      <c r="U228" s="90">
        <f>VLOOKUP(R228,$A$228:$O$231,4,FALSE)</f>
        <v>0.97825492539290915</v>
      </c>
      <c r="V228" s="90">
        <f>VLOOKUP(R228,$A$228:$O$231,5,FALSE)</f>
        <v>1.810148156349255</v>
      </c>
      <c r="W228" s="10">
        <f>VLOOKUP(R228,$A$228:$O$231,6,FALSE)</f>
        <v>0.23457703374756084</v>
      </c>
      <c r="X228" s="10">
        <f>VLOOKUP(R228,$A$228:$O$231,7,FALSE)</f>
        <v>0</v>
      </c>
      <c r="Y228" s="10">
        <f>VLOOKUP(R228,$A$228:$O$231,8,FALSE)</f>
        <v>0</v>
      </c>
      <c r="Z228" s="10">
        <f>VLOOKUP(R228,$A$228:$O$231,9,FALSE)</f>
        <v>0</v>
      </c>
      <c r="AA228" s="10">
        <f>VLOOKUP(R228,$A$228:$O$231,10,FALSE)</f>
        <v>0</v>
      </c>
      <c r="AB228" s="10">
        <f>VLOOKUP(R228,$A$228:$O$231,11,FALSE)</f>
        <v>0</v>
      </c>
      <c r="AC228" s="10">
        <f>VLOOKUP(R228,$A$228:$O$231,12,FALSE)</f>
        <v>0</v>
      </c>
      <c r="AD228" s="10">
        <f>VLOOKUP(R228,$A$228:$O$231,13,FALSE)</f>
        <v>0</v>
      </c>
      <c r="AE228" s="10">
        <f>VLOOKUP(R228,$A$228:$O$231,14,FALSE)</f>
        <v>0</v>
      </c>
      <c r="AF228" s="10">
        <f>VLOOKUP(R228,$A$228:$O$231,15,FALSE)</f>
        <v>0</v>
      </c>
    </row>
    <row r="229" spans="1:32">
      <c r="A229" s="70">
        <f t="shared" ref="A229:A231" si="16">RANK(P229,$P$228:$P$231,0)</f>
        <v>1</v>
      </c>
      <c r="B229" s="90" t="s">
        <v>337</v>
      </c>
      <c r="C229" s="8" t="s">
        <v>341</v>
      </c>
      <c r="D229" s="90">
        <v>6.7789068298438462</v>
      </c>
      <c r="E229" s="90">
        <v>8.2508973466690652</v>
      </c>
      <c r="F229" s="90">
        <v>5.4630086312059385</v>
      </c>
      <c r="G229" s="411"/>
      <c r="H229" s="411"/>
      <c r="I229" s="411"/>
      <c r="J229" s="11"/>
      <c r="K229" s="11"/>
      <c r="L229" s="11"/>
      <c r="M229" s="11"/>
      <c r="N229" s="11"/>
      <c r="O229" s="11"/>
      <c r="P229" s="476">
        <f t="shared" ref="P229:P231" si="17">(J229+M229)/2</f>
        <v>0</v>
      </c>
      <c r="R229" s="137">
        <v>2</v>
      </c>
      <c r="S229" s="90" t="e">
        <f t="shared" ref="S229:S231" si="18">VLOOKUP(R229,$A$228:$O$231,2,FALSE)</f>
        <v>#N/A</v>
      </c>
      <c r="T229" s="90" t="e">
        <f t="shared" ref="T229:T231" si="19">VLOOKUP(R229,$A$228:$O$231,3,FALSE)</f>
        <v>#N/A</v>
      </c>
      <c r="U229" s="90" t="e">
        <f t="shared" ref="U229:U231" si="20">VLOOKUP(R229,$A$228:$O$231,4,FALSE)</f>
        <v>#N/A</v>
      </c>
      <c r="V229" s="90" t="e">
        <f t="shared" ref="V229:V231" si="21">VLOOKUP(R229,$A$228:$O$231,5,FALSE)</f>
        <v>#N/A</v>
      </c>
      <c r="W229" s="10" t="e">
        <f t="shared" ref="W229:W231" si="22">VLOOKUP(R229,$A$228:$O$231,6,FALSE)</f>
        <v>#N/A</v>
      </c>
      <c r="X229" s="10" t="e">
        <f t="shared" ref="X229:X231" si="23">VLOOKUP(R229,$A$228:$O$231,7,FALSE)</f>
        <v>#N/A</v>
      </c>
      <c r="Y229" s="10" t="e">
        <f t="shared" ref="Y229:Y231" si="24">VLOOKUP(R229,$A$228:$O$231,8,FALSE)</f>
        <v>#N/A</v>
      </c>
      <c r="Z229" s="10" t="e">
        <f t="shared" ref="Z229:Z231" si="25">VLOOKUP(R229,$A$228:$O$231,9,FALSE)</f>
        <v>#N/A</v>
      </c>
      <c r="AA229" s="10" t="e">
        <f t="shared" ref="AA229:AA231" si="26">VLOOKUP(R229,$A$228:$O$231,10,FALSE)</f>
        <v>#N/A</v>
      </c>
      <c r="AB229" s="10" t="e">
        <f t="shared" ref="AB229:AB231" si="27">VLOOKUP(R229,$A$228:$O$231,11,FALSE)</f>
        <v>#N/A</v>
      </c>
      <c r="AC229" s="10" t="e">
        <f t="shared" ref="AC229:AC231" si="28">VLOOKUP(R229,$A$228:$O$231,12,FALSE)</f>
        <v>#N/A</v>
      </c>
      <c r="AD229" s="10" t="e">
        <f t="shared" ref="AD229:AD231" si="29">VLOOKUP(R229,$A$228:$O$231,13,FALSE)</f>
        <v>#N/A</v>
      </c>
      <c r="AE229" s="10" t="e">
        <f t="shared" ref="AE229:AE231" si="30">VLOOKUP(R229,$A$228:$O$231,14,FALSE)</f>
        <v>#N/A</v>
      </c>
      <c r="AF229" s="10" t="e">
        <f t="shared" ref="AF229:AF231" si="31">VLOOKUP(R229,$A$228:$O$231,15,FALSE)</f>
        <v>#N/A</v>
      </c>
    </row>
    <row r="230" spans="1:32">
      <c r="A230" s="70">
        <f t="shared" si="16"/>
        <v>1</v>
      </c>
      <c r="B230" s="90" t="s">
        <v>338</v>
      </c>
      <c r="C230" s="8" t="s">
        <v>344</v>
      </c>
      <c r="D230" s="90">
        <v>0.31225634568478283</v>
      </c>
      <c r="E230" s="90">
        <v>0.4034921715480706</v>
      </c>
      <c r="F230" s="90">
        <v>0.23069531826479592</v>
      </c>
      <c r="G230" s="411"/>
      <c r="H230" s="411"/>
      <c r="I230" s="411"/>
      <c r="J230" s="11"/>
      <c r="K230" s="11"/>
      <c r="L230" s="11"/>
      <c r="M230" s="11"/>
      <c r="N230" s="11"/>
      <c r="O230" s="11"/>
      <c r="P230" s="476">
        <f t="shared" si="17"/>
        <v>0</v>
      </c>
      <c r="R230" s="137">
        <v>3</v>
      </c>
      <c r="S230" s="90" t="e">
        <f t="shared" si="18"/>
        <v>#N/A</v>
      </c>
      <c r="T230" s="90" t="e">
        <f t="shared" si="19"/>
        <v>#N/A</v>
      </c>
      <c r="U230" s="90" t="e">
        <f t="shared" si="20"/>
        <v>#N/A</v>
      </c>
      <c r="V230" s="90" t="e">
        <f t="shared" si="21"/>
        <v>#N/A</v>
      </c>
      <c r="W230" s="10" t="e">
        <f t="shared" si="22"/>
        <v>#N/A</v>
      </c>
      <c r="X230" s="10" t="e">
        <f t="shared" si="23"/>
        <v>#N/A</v>
      </c>
      <c r="Y230" s="10" t="e">
        <f t="shared" si="24"/>
        <v>#N/A</v>
      </c>
      <c r="Z230" s="10" t="e">
        <f t="shared" si="25"/>
        <v>#N/A</v>
      </c>
      <c r="AA230" s="10" t="e">
        <f t="shared" si="26"/>
        <v>#N/A</v>
      </c>
      <c r="AB230" s="10" t="e">
        <f t="shared" si="27"/>
        <v>#N/A</v>
      </c>
      <c r="AC230" s="10" t="e">
        <f t="shared" si="28"/>
        <v>#N/A</v>
      </c>
      <c r="AD230" s="10" t="e">
        <f t="shared" si="29"/>
        <v>#N/A</v>
      </c>
      <c r="AE230" s="10" t="e">
        <f t="shared" si="30"/>
        <v>#N/A</v>
      </c>
      <c r="AF230" s="10" t="e">
        <f t="shared" si="31"/>
        <v>#N/A</v>
      </c>
    </row>
    <row r="231" spans="1:32">
      <c r="A231" s="70">
        <f t="shared" si="16"/>
        <v>1</v>
      </c>
      <c r="B231" s="90" t="s">
        <v>339</v>
      </c>
      <c r="C231" s="8" t="s">
        <v>345</v>
      </c>
      <c r="D231" s="90">
        <v>3.9241026794677487</v>
      </c>
      <c r="E231" s="90">
        <v>4.0447584706191764</v>
      </c>
      <c r="F231" s="90">
        <v>3.8162414287214936</v>
      </c>
      <c r="G231" s="411"/>
      <c r="H231" s="411"/>
      <c r="I231" s="411"/>
      <c r="J231" s="11"/>
      <c r="K231" s="11"/>
      <c r="L231" s="11"/>
      <c r="M231" s="11"/>
      <c r="N231" s="11"/>
      <c r="O231" s="11"/>
      <c r="P231" s="476">
        <f t="shared" si="17"/>
        <v>0</v>
      </c>
      <c r="R231" s="137">
        <v>4</v>
      </c>
      <c r="S231" s="90" t="e">
        <f t="shared" si="18"/>
        <v>#N/A</v>
      </c>
      <c r="T231" s="90" t="e">
        <f t="shared" si="19"/>
        <v>#N/A</v>
      </c>
      <c r="U231" s="90" t="e">
        <f t="shared" si="20"/>
        <v>#N/A</v>
      </c>
      <c r="V231" s="90" t="e">
        <f t="shared" si="21"/>
        <v>#N/A</v>
      </c>
      <c r="W231" s="10" t="e">
        <f t="shared" si="22"/>
        <v>#N/A</v>
      </c>
      <c r="X231" s="10" t="e">
        <f t="shared" si="23"/>
        <v>#N/A</v>
      </c>
      <c r="Y231" s="10" t="e">
        <f t="shared" si="24"/>
        <v>#N/A</v>
      </c>
      <c r="Z231" s="10" t="e">
        <f t="shared" si="25"/>
        <v>#N/A</v>
      </c>
      <c r="AA231" s="10" t="e">
        <f t="shared" si="26"/>
        <v>#N/A</v>
      </c>
      <c r="AB231" s="10" t="e">
        <f t="shared" si="27"/>
        <v>#N/A</v>
      </c>
      <c r="AC231" s="10" t="e">
        <f t="shared" si="28"/>
        <v>#N/A</v>
      </c>
      <c r="AD231" s="10" t="e">
        <f t="shared" si="29"/>
        <v>#N/A</v>
      </c>
      <c r="AE231" s="10" t="e">
        <f t="shared" si="30"/>
        <v>#N/A</v>
      </c>
      <c r="AF231" s="10" t="e">
        <f t="shared" si="31"/>
        <v>#N/A</v>
      </c>
    </row>
    <row r="233" spans="1:32">
      <c r="A233" s="235" t="str">
        <f>INDICE!C33</f>
        <v>QUE SAÚDE TEMOS?</v>
      </c>
    </row>
    <row r="235" spans="1:32">
      <c r="A235" s="69" t="s">
        <v>349</v>
      </c>
    </row>
    <row r="236" spans="1:32">
      <c r="A236" s="9" t="s">
        <v>8</v>
      </c>
      <c r="B236" s="72" t="s">
        <v>46</v>
      </c>
      <c r="C236" s="72" t="s">
        <v>20</v>
      </c>
      <c r="D236" s="72" t="s">
        <v>21</v>
      </c>
      <c r="E236" s="72" t="s">
        <v>22</v>
      </c>
      <c r="F236" s="72" t="s">
        <v>47</v>
      </c>
      <c r="G236" s="72" t="s">
        <v>48</v>
      </c>
      <c r="H236" s="72" t="s">
        <v>172</v>
      </c>
      <c r="I236" s="72" t="s">
        <v>129</v>
      </c>
      <c r="J236" s="72" t="s">
        <v>173</v>
      </c>
      <c r="K236" s="329" t="s">
        <v>212</v>
      </c>
      <c r="L236" s="329" t="s">
        <v>297</v>
      </c>
      <c r="M236" s="108"/>
      <c r="N236" s="108"/>
      <c r="O236" s="72"/>
      <c r="P236" s="72"/>
    </row>
    <row r="237" spans="1:32">
      <c r="A237" s="8" t="s">
        <v>16</v>
      </c>
      <c r="B237" s="10">
        <v>6.027031394345542</v>
      </c>
      <c r="C237" s="10">
        <v>6.3536333409161028</v>
      </c>
      <c r="D237" s="10">
        <v>6.7345853279325727</v>
      </c>
      <c r="E237" s="10">
        <v>6.7775217998408746</v>
      </c>
      <c r="F237" s="10">
        <v>7.1021596256387838</v>
      </c>
      <c r="G237" s="10">
        <v>7.8368182151450725</v>
      </c>
      <c r="H237" s="10">
        <v>8.6653477400700041</v>
      </c>
      <c r="I237" s="10">
        <v>8.9602006159018419</v>
      </c>
      <c r="J237" s="10">
        <v>8.5187590237432396</v>
      </c>
      <c r="K237" s="10">
        <v>8.0206834468631047</v>
      </c>
      <c r="L237" s="10">
        <v>7.6956871933806834</v>
      </c>
      <c r="M237" s="90"/>
      <c r="N237" s="90"/>
      <c r="O237" s="88"/>
      <c r="P237" s="88"/>
      <c r="Q237" s="90"/>
      <c r="R237" s="90"/>
      <c r="S237" s="90"/>
      <c r="T237" s="90"/>
      <c r="U237" s="90"/>
    </row>
    <row r="238" spans="1:32">
      <c r="A238" s="8">
        <f>A2</f>
        <v>0</v>
      </c>
      <c r="B238" s="411"/>
      <c r="C238" s="411"/>
      <c r="D238" s="411"/>
      <c r="E238" s="411"/>
      <c r="F238" s="411"/>
      <c r="G238" s="411"/>
      <c r="H238" s="411"/>
      <c r="I238" s="411"/>
      <c r="J238" s="411"/>
      <c r="K238" s="411"/>
      <c r="L238" s="411"/>
      <c r="M238" s="90"/>
      <c r="N238" s="90"/>
      <c r="O238" s="88"/>
      <c r="P238" s="88"/>
      <c r="Q238" s="90"/>
      <c r="R238" s="90"/>
      <c r="S238" s="90"/>
      <c r="T238" s="90"/>
      <c r="U238" s="90"/>
    </row>
    <row r="239" spans="1:32">
      <c r="A239" s="8">
        <f>A3</f>
        <v>0</v>
      </c>
      <c r="B239" s="11"/>
      <c r="C239" s="11"/>
      <c r="D239" s="11"/>
      <c r="E239" s="11"/>
      <c r="F239" s="11"/>
      <c r="G239" s="11"/>
      <c r="H239" s="11"/>
      <c r="I239" s="11"/>
      <c r="J239" s="11"/>
      <c r="K239" s="11"/>
      <c r="L239" s="11"/>
      <c r="M239" s="90"/>
      <c r="N239" s="90"/>
      <c r="O239" s="137"/>
      <c r="P239" s="137"/>
      <c r="Q239" s="90"/>
      <c r="R239" s="90"/>
      <c r="S239" s="90"/>
      <c r="T239" s="90"/>
      <c r="U239" s="90"/>
    </row>
    <row r="240" spans="1:32">
      <c r="B240" s="70"/>
      <c r="C240" s="70"/>
      <c r="D240" s="70"/>
      <c r="E240" s="70"/>
      <c r="H240" s="12"/>
      <c r="I240" s="12"/>
      <c r="J240" s="12"/>
      <c r="K240" s="12"/>
      <c r="L240" s="12"/>
      <c r="M240" s="12"/>
      <c r="N240" s="14"/>
      <c r="O240" s="14"/>
      <c r="P240" s="12"/>
      <c r="Q240" s="12"/>
    </row>
    <row r="241" spans="1:21">
      <c r="A241" s="69" t="s">
        <v>350</v>
      </c>
    </row>
    <row r="242" spans="1:21">
      <c r="A242" s="9" t="s">
        <v>8</v>
      </c>
      <c r="B242" s="72" t="s">
        <v>42</v>
      </c>
      <c r="C242" s="72" t="s">
        <v>43</v>
      </c>
      <c r="D242" s="72" t="s">
        <v>44</v>
      </c>
      <c r="E242" s="72" t="s">
        <v>45</v>
      </c>
      <c r="F242" s="72" t="s">
        <v>46</v>
      </c>
      <c r="G242" s="72" t="s">
        <v>20</v>
      </c>
      <c r="H242" s="72" t="s">
        <v>21</v>
      </c>
      <c r="I242" s="72" t="s">
        <v>22</v>
      </c>
      <c r="J242" s="72" t="s">
        <v>47</v>
      </c>
      <c r="K242" s="72" t="s">
        <v>48</v>
      </c>
      <c r="L242" s="72" t="s">
        <v>172</v>
      </c>
      <c r="M242" s="72" t="s">
        <v>129</v>
      </c>
      <c r="N242" s="72" t="s">
        <v>173</v>
      </c>
      <c r="O242" s="329" t="s">
        <v>212</v>
      </c>
      <c r="P242" s="329" t="s">
        <v>297</v>
      </c>
    </row>
    <row r="243" spans="1:21">
      <c r="A243" s="8" t="s">
        <v>16</v>
      </c>
      <c r="B243" s="10">
        <v>6.524442592732874</v>
      </c>
      <c r="C243" s="10">
        <v>6.882311176702208</v>
      </c>
      <c r="D243" s="10">
        <v>7.071939215186493</v>
      </c>
      <c r="E243" s="10">
        <v>7.231042171712569</v>
      </c>
      <c r="F243" s="10">
        <v>7.1993268066916878</v>
      </c>
      <c r="G243" s="10">
        <v>7.3056344128911226</v>
      </c>
      <c r="H243" s="10">
        <v>7.4430417992465374</v>
      </c>
      <c r="I243" s="10">
        <v>7.5060470793485452</v>
      </c>
      <c r="J243" s="10">
        <v>7.5629319740766601</v>
      </c>
      <c r="K243" s="10">
        <v>7.6481880169833829</v>
      </c>
      <c r="L243" s="10">
        <v>7.7140296589391104</v>
      </c>
      <c r="M243" s="10">
        <v>7.9181966614537762</v>
      </c>
      <c r="N243" s="10">
        <v>8.0821652838895535</v>
      </c>
      <c r="O243" s="10">
        <v>8.3258316262519578</v>
      </c>
      <c r="P243" s="10">
        <v>8.4403602548143795</v>
      </c>
      <c r="Q243" s="90"/>
      <c r="R243" s="90"/>
      <c r="S243" s="90"/>
      <c r="T243" s="90"/>
      <c r="U243" s="90"/>
    </row>
    <row r="244" spans="1:21">
      <c r="A244" s="8">
        <f>A2</f>
        <v>0</v>
      </c>
      <c r="B244" s="411"/>
      <c r="C244" s="411"/>
      <c r="D244" s="411"/>
      <c r="E244" s="411"/>
      <c r="F244" s="411"/>
      <c r="G244" s="411"/>
      <c r="H244" s="411"/>
      <c r="I244" s="411"/>
      <c r="J244" s="411"/>
      <c r="K244" s="411"/>
      <c r="L244" s="411"/>
      <c r="M244" s="411"/>
      <c r="N244" s="411"/>
      <c r="O244" s="411"/>
      <c r="P244" s="411"/>
      <c r="Q244" s="90"/>
      <c r="R244" s="90"/>
      <c r="S244" s="90"/>
      <c r="T244" s="90"/>
      <c r="U244" s="90"/>
    </row>
    <row r="245" spans="1:21">
      <c r="A245" s="8">
        <f>A3</f>
        <v>0</v>
      </c>
      <c r="B245" s="11"/>
      <c r="C245" s="11"/>
      <c r="D245" s="11"/>
      <c r="E245" s="11"/>
      <c r="F245" s="11"/>
      <c r="G245" s="11"/>
      <c r="H245" s="11"/>
      <c r="I245" s="11"/>
      <c r="J245" s="11"/>
      <c r="K245" s="11"/>
      <c r="L245" s="11"/>
      <c r="M245" s="11"/>
      <c r="N245" s="11"/>
      <c r="O245" s="11"/>
      <c r="P245" s="11"/>
      <c r="Q245" s="90"/>
      <c r="R245" s="90"/>
      <c r="S245" s="90"/>
      <c r="T245" s="90"/>
      <c r="U245" s="90"/>
    </row>
    <row r="246" spans="1:21">
      <c r="B246" s="70"/>
      <c r="C246" s="70"/>
      <c r="D246" s="70"/>
      <c r="E246" s="70"/>
      <c r="H246" s="12"/>
      <c r="I246" s="12"/>
      <c r="J246" s="12"/>
      <c r="K246" s="12"/>
      <c r="L246" s="12"/>
      <c r="M246" s="12"/>
      <c r="N246" s="14"/>
      <c r="O246" s="14"/>
      <c r="P246" s="12"/>
      <c r="Q246" s="12"/>
    </row>
    <row r="247" spans="1:21">
      <c r="A247" s="69" t="s">
        <v>471</v>
      </c>
    </row>
    <row r="248" spans="1:21">
      <c r="A248" s="9" t="s">
        <v>8</v>
      </c>
      <c r="B248" s="72">
        <v>1996</v>
      </c>
      <c r="C248" s="72">
        <v>1997</v>
      </c>
      <c r="D248" s="72">
        <v>1998</v>
      </c>
      <c r="E248" s="72">
        <v>1999</v>
      </c>
      <c r="F248" s="72">
        <v>2000</v>
      </c>
      <c r="G248" s="72">
        <v>2001</v>
      </c>
      <c r="H248" s="72">
        <v>2002</v>
      </c>
      <c r="I248" s="72">
        <v>2003</v>
      </c>
      <c r="J248" s="72">
        <v>2004</v>
      </c>
      <c r="K248" s="72">
        <v>2005</v>
      </c>
      <c r="L248" s="72">
        <v>2006</v>
      </c>
      <c r="M248" s="72">
        <v>2007</v>
      </c>
      <c r="N248" s="72">
        <v>2008</v>
      </c>
      <c r="O248" s="72">
        <v>2009</v>
      </c>
      <c r="P248" s="72">
        <v>2010</v>
      </c>
      <c r="Q248" s="72">
        <v>2011</v>
      </c>
      <c r="R248" s="72">
        <v>2012</v>
      </c>
    </row>
    <row r="249" spans="1:21">
      <c r="A249" s="8" t="s">
        <v>16</v>
      </c>
      <c r="B249" s="88">
        <v>101466</v>
      </c>
      <c r="C249" s="88">
        <v>99355</v>
      </c>
      <c r="D249" s="88">
        <v>100844</v>
      </c>
      <c r="E249" s="88">
        <v>102665</v>
      </c>
      <c r="F249" s="88">
        <v>100021</v>
      </c>
      <c r="G249" s="88">
        <v>99706</v>
      </c>
      <c r="H249" s="88">
        <v>100880</v>
      </c>
      <c r="I249" s="88">
        <v>103321</v>
      </c>
      <c r="J249" s="88">
        <v>96946</v>
      </c>
      <c r="K249" s="88">
        <v>102323</v>
      </c>
      <c r="L249" s="88">
        <v>97038</v>
      </c>
      <c r="M249" s="88">
        <v>98668</v>
      </c>
      <c r="N249" s="88">
        <v>99401</v>
      </c>
      <c r="O249" s="88">
        <v>99335</v>
      </c>
      <c r="P249" s="88">
        <v>100837</v>
      </c>
      <c r="Q249" s="88">
        <v>97962</v>
      </c>
      <c r="R249" s="88">
        <v>102808</v>
      </c>
      <c r="S249" s="90"/>
      <c r="T249" s="90"/>
      <c r="U249" s="90"/>
    </row>
    <row r="250" spans="1:21">
      <c r="A250" s="8">
        <f>A2</f>
        <v>0</v>
      </c>
      <c r="B250" s="412"/>
      <c r="C250" s="412"/>
      <c r="D250" s="412"/>
      <c r="E250" s="412"/>
      <c r="F250" s="412"/>
      <c r="G250" s="412"/>
      <c r="H250" s="412"/>
      <c r="I250" s="412"/>
      <c r="J250" s="412"/>
      <c r="K250" s="412"/>
      <c r="L250" s="412"/>
      <c r="M250" s="412"/>
      <c r="N250" s="412"/>
      <c r="O250" s="412"/>
      <c r="P250" s="412"/>
      <c r="Q250" s="412"/>
      <c r="R250" s="412"/>
      <c r="S250" s="90"/>
      <c r="T250" s="90"/>
      <c r="U250" s="90"/>
    </row>
    <row r="251" spans="1:21">
      <c r="A251" s="8">
        <f>A3</f>
        <v>0</v>
      </c>
      <c r="B251" s="89"/>
      <c r="C251" s="89"/>
      <c r="D251" s="89"/>
      <c r="E251" s="89"/>
      <c r="F251" s="89"/>
      <c r="G251" s="89"/>
      <c r="H251" s="89"/>
      <c r="I251" s="89"/>
      <c r="J251" s="89"/>
      <c r="K251" s="89"/>
      <c r="L251" s="89"/>
      <c r="M251" s="89"/>
      <c r="N251" s="89"/>
      <c r="O251" s="89"/>
      <c r="P251" s="89"/>
      <c r="Q251" s="89"/>
      <c r="R251" s="89"/>
      <c r="S251" s="90"/>
      <c r="T251" s="90"/>
      <c r="U251" s="90"/>
    </row>
    <row r="252" spans="1:21">
      <c r="B252" s="70"/>
      <c r="C252" s="70"/>
      <c r="D252" s="70"/>
      <c r="E252" s="70"/>
      <c r="H252" s="12"/>
      <c r="I252" s="12"/>
      <c r="J252" s="12"/>
      <c r="K252" s="12"/>
      <c r="L252" s="12"/>
      <c r="M252" s="12"/>
      <c r="N252" s="14"/>
      <c r="O252" s="14"/>
      <c r="P252" s="12"/>
      <c r="Q252" s="12"/>
      <c r="R252" s="12"/>
    </row>
    <row r="253" spans="1:21">
      <c r="A253" s="69" t="s">
        <v>353</v>
      </c>
    </row>
    <row r="254" spans="1:21">
      <c r="A254" s="9" t="s">
        <v>8</v>
      </c>
      <c r="B254" s="72">
        <v>1996</v>
      </c>
      <c r="C254" s="72">
        <v>1997</v>
      </c>
      <c r="D254" s="72">
        <v>1998</v>
      </c>
      <c r="E254" s="72">
        <v>1999</v>
      </c>
      <c r="F254" s="72">
        <v>2000</v>
      </c>
      <c r="G254" s="72">
        <v>2001</v>
      </c>
      <c r="H254" s="72">
        <v>2002</v>
      </c>
      <c r="I254" s="72">
        <v>2003</v>
      </c>
      <c r="J254" s="72">
        <v>2004</v>
      </c>
      <c r="K254" s="72">
        <v>2005</v>
      </c>
      <c r="L254" s="72">
        <v>2006</v>
      </c>
      <c r="M254" s="72">
        <v>2007</v>
      </c>
      <c r="N254" s="72">
        <v>2008</v>
      </c>
      <c r="O254" s="72">
        <v>2009</v>
      </c>
      <c r="P254" s="72">
        <v>2010</v>
      </c>
      <c r="Q254" s="72">
        <v>2011</v>
      </c>
      <c r="R254" s="72">
        <v>2012</v>
      </c>
    </row>
    <row r="255" spans="1:21">
      <c r="A255" s="8" t="s">
        <v>16</v>
      </c>
      <c r="B255" s="10">
        <v>10.591275772433184</v>
      </c>
      <c r="C255" s="10">
        <v>10.321375458978128</v>
      </c>
      <c r="D255" s="10">
        <v>10.420296162746913</v>
      </c>
      <c r="E255" s="10">
        <v>10.546231405673506</v>
      </c>
      <c r="F255" s="10">
        <v>10.200667728095262</v>
      </c>
      <c r="G255" s="10">
        <v>10.097142437599212</v>
      </c>
      <c r="H255" s="10">
        <v>10.162100000785729</v>
      </c>
      <c r="I255" s="10">
        <v>10.370855888455157</v>
      </c>
      <c r="J255" s="10">
        <v>9.7096139760912301</v>
      </c>
      <c r="K255" s="10">
        <v>10.231222140747473</v>
      </c>
      <c r="L255" s="10">
        <v>9.6872928529785245</v>
      </c>
      <c r="M255" s="10">
        <v>9.8327011755931615</v>
      </c>
      <c r="N255" s="10">
        <v>9.8932426349082832</v>
      </c>
      <c r="O255" s="10">
        <v>9.8786389784332709</v>
      </c>
      <c r="P255" s="10">
        <v>10.024623390665301</v>
      </c>
      <c r="Q255" s="10">
        <v>9.7528160606764889</v>
      </c>
      <c r="R255" s="10">
        <v>10.276886047948638</v>
      </c>
      <c r="S255" s="10"/>
      <c r="T255" s="10"/>
      <c r="U255" s="10"/>
    </row>
    <row r="256" spans="1:21">
      <c r="A256" s="8">
        <f>A2</f>
        <v>0</v>
      </c>
      <c r="B256" s="411"/>
      <c r="C256" s="411"/>
      <c r="D256" s="411"/>
      <c r="E256" s="411"/>
      <c r="F256" s="411"/>
      <c r="G256" s="411"/>
      <c r="H256" s="411"/>
      <c r="I256" s="411"/>
      <c r="J256" s="411"/>
      <c r="K256" s="411"/>
      <c r="L256" s="411"/>
      <c r="M256" s="411"/>
      <c r="N256" s="411"/>
      <c r="O256" s="411"/>
      <c r="P256" s="411"/>
      <c r="Q256" s="411"/>
      <c r="R256" s="411"/>
      <c r="S256" s="10"/>
      <c r="T256" s="10"/>
      <c r="U256" s="10"/>
    </row>
    <row r="257" spans="1:21">
      <c r="A257" s="8">
        <f>A3</f>
        <v>0</v>
      </c>
      <c r="B257" s="11"/>
      <c r="C257" s="11"/>
      <c r="D257" s="11"/>
      <c r="E257" s="11"/>
      <c r="F257" s="11"/>
      <c r="G257" s="11"/>
      <c r="H257" s="11"/>
      <c r="I257" s="11"/>
      <c r="J257" s="11"/>
      <c r="K257" s="11"/>
      <c r="L257" s="11"/>
      <c r="M257" s="11"/>
      <c r="N257" s="11"/>
      <c r="O257" s="11"/>
      <c r="P257" s="11"/>
      <c r="Q257" s="11"/>
      <c r="R257" s="11"/>
      <c r="S257" s="90"/>
      <c r="T257" s="90"/>
      <c r="U257" s="90"/>
    </row>
    <row r="259" spans="1:21">
      <c r="A259" s="69" t="s">
        <v>354</v>
      </c>
    </row>
    <row r="260" spans="1:21">
      <c r="A260" s="9" t="s">
        <v>8</v>
      </c>
      <c r="B260" s="72" t="s">
        <v>42</v>
      </c>
      <c r="C260" s="72" t="s">
        <v>43</v>
      </c>
      <c r="D260" s="72" t="s">
        <v>44</v>
      </c>
      <c r="E260" s="72" t="s">
        <v>45</v>
      </c>
      <c r="F260" s="72" t="s">
        <v>46</v>
      </c>
      <c r="G260" s="72" t="s">
        <v>20</v>
      </c>
      <c r="H260" s="72" t="s">
        <v>21</v>
      </c>
      <c r="I260" s="72" t="s">
        <v>22</v>
      </c>
      <c r="J260" s="72" t="s">
        <v>47</v>
      </c>
      <c r="K260" s="72" t="s">
        <v>48</v>
      </c>
      <c r="L260" s="72" t="s">
        <v>172</v>
      </c>
      <c r="M260" s="72" t="s">
        <v>129</v>
      </c>
      <c r="N260" s="72" t="s">
        <v>173</v>
      </c>
      <c r="O260" s="329" t="s">
        <v>212</v>
      </c>
      <c r="P260" s="329" t="s">
        <v>297</v>
      </c>
    </row>
    <row r="261" spans="1:21">
      <c r="A261" s="8" t="s">
        <v>16</v>
      </c>
      <c r="B261" s="10">
        <v>6.2211196121505949</v>
      </c>
      <c r="C261" s="10">
        <v>5.8287886351023293</v>
      </c>
      <c r="D261" s="10">
        <v>5.5013411984609597</v>
      </c>
      <c r="E261" s="10">
        <v>5.173492760755579</v>
      </c>
      <c r="F261" s="10">
        <v>5.0154121022351354</v>
      </c>
      <c r="G261" s="10">
        <v>4.6119855532668748</v>
      </c>
      <c r="H261" s="10">
        <v>4.261439636424293</v>
      </c>
      <c r="I261" s="10">
        <v>3.7480708458881455</v>
      </c>
      <c r="J261" s="10">
        <v>3.4818986953485491</v>
      </c>
      <c r="K261" s="10">
        <v>3.3593505255650573</v>
      </c>
      <c r="L261" s="10">
        <v>3.3108439439287105</v>
      </c>
      <c r="M261" s="10">
        <v>3.4136394011835787</v>
      </c>
      <c r="N261" s="10">
        <v>3.1017498290238121</v>
      </c>
      <c r="O261" s="10">
        <v>3.0443935667250264</v>
      </c>
      <c r="P261" s="10">
        <v>2.9435562113063312</v>
      </c>
      <c r="Q261" s="90"/>
      <c r="R261" s="90"/>
      <c r="S261" s="90"/>
      <c r="T261" s="90"/>
      <c r="U261" s="90"/>
    </row>
    <row r="262" spans="1:21">
      <c r="A262" s="8">
        <f>A2</f>
        <v>0</v>
      </c>
      <c r="B262" s="411"/>
      <c r="C262" s="411"/>
      <c r="D262" s="411"/>
      <c r="E262" s="411"/>
      <c r="F262" s="411"/>
      <c r="G262" s="411"/>
      <c r="H262" s="411"/>
      <c r="I262" s="411"/>
      <c r="J262" s="411"/>
      <c r="K262" s="411"/>
      <c r="L262" s="411"/>
      <c r="M262" s="411"/>
      <c r="N262" s="411"/>
      <c r="O262" s="411"/>
      <c r="P262" s="411"/>
      <c r="Q262" s="90"/>
      <c r="R262" s="90"/>
      <c r="S262" s="90"/>
      <c r="T262" s="90"/>
      <c r="U262" s="90"/>
    </row>
    <row r="263" spans="1:21">
      <c r="A263" s="8">
        <f>A3</f>
        <v>0</v>
      </c>
      <c r="B263" s="11"/>
      <c r="C263" s="11"/>
      <c r="D263" s="11"/>
      <c r="E263" s="11"/>
      <c r="F263" s="11"/>
      <c r="G263" s="11"/>
      <c r="H263" s="11"/>
      <c r="I263" s="11"/>
      <c r="J263" s="11"/>
      <c r="K263" s="11"/>
      <c r="L263" s="11"/>
      <c r="M263" s="11"/>
      <c r="N263" s="11"/>
      <c r="O263" s="11"/>
      <c r="P263" s="11"/>
      <c r="Q263" s="90"/>
      <c r="R263" s="90"/>
      <c r="S263" s="90"/>
      <c r="T263" s="90"/>
      <c r="U263" s="90"/>
    </row>
    <row r="264" spans="1:21">
      <c r="B264" s="70"/>
      <c r="C264" s="70"/>
      <c r="D264" s="70"/>
      <c r="E264" s="70"/>
      <c r="H264" s="12"/>
      <c r="I264" s="12"/>
      <c r="J264" s="12"/>
      <c r="K264" s="12"/>
      <c r="L264" s="12"/>
      <c r="M264" s="12"/>
      <c r="N264" s="14"/>
      <c r="O264" s="14"/>
      <c r="P264" s="14"/>
      <c r="Q264" s="12"/>
    </row>
    <row r="265" spans="1:21">
      <c r="A265" s="69" t="s">
        <v>355</v>
      </c>
    </row>
    <row r="266" spans="1:21">
      <c r="A266" s="9" t="s">
        <v>8</v>
      </c>
      <c r="B266" s="72" t="s">
        <v>42</v>
      </c>
      <c r="C266" s="72" t="s">
        <v>43</v>
      </c>
      <c r="D266" s="72" t="s">
        <v>44</v>
      </c>
      <c r="E266" s="72" t="s">
        <v>45</v>
      </c>
      <c r="F266" s="72" t="s">
        <v>46</v>
      </c>
      <c r="G266" s="72" t="s">
        <v>20</v>
      </c>
      <c r="H266" s="72" t="s">
        <v>21</v>
      </c>
      <c r="I266" s="72" t="s">
        <v>22</v>
      </c>
      <c r="J266" s="72" t="s">
        <v>47</v>
      </c>
      <c r="K266" s="72" t="s">
        <v>48</v>
      </c>
      <c r="L266" s="72" t="s">
        <v>172</v>
      </c>
      <c r="M266" s="72" t="s">
        <v>129</v>
      </c>
      <c r="N266" s="72" t="s">
        <v>173</v>
      </c>
      <c r="O266" s="329" t="s">
        <v>212</v>
      </c>
      <c r="P266" s="329" t="s">
        <v>297</v>
      </c>
    </row>
    <row r="267" spans="1:21">
      <c r="A267" s="8" t="s">
        <v>16</v>
      </c>
      <c r="B267" s="10">
        <v>3.8759689922480618</v>
      </c>
      <c r="C267" s="10">
        <v>3.695700028213817</v>
      </c>
      <c r="D267" s="10">
        <v>3.4440277221473741</v>
      </c>
      <c r="E267" s="10">
        <v>3.1776121125956172</v>
      </c>
      <c r="F267" s="10">
        <v>3.1433981017656079</v>
      </c>
      <c r="G267" s="10">
        <v>2.9416988934350878</v>
      </c>
      <c r="H267" s="10">
        <v>2.8325669666040354</v>
      </c>
      <c r="I267" s="10">
        <v>2.4252223120452712</v>
      </c>
      <c r="J267" s="10">
        <v>2.2483863178023902</v>
      </c>
      <c r="K267" s="10">
        <v>2.1029267674916183</v>
      </c>
      <c r="L267" s="10">
        <v>2.0798457870440825</v>
      </c>
      <c r="M267" s="10">
        <v>2.177013220532817</v>
      </c>
      <c r="N267" s="10">
        <v>2.0413520589677874</v>
      </c>
      <c r="O267" s="10">
        <v>2.1264681490512407</v>
      </c>
      <c r="P267" s="10">
        <v>2.050238157128788</v>
      </c>
      <c r="Q267" s="90"/>
      <c r="R267" s="90"/>
      <c r="S267" s="90"/>
      <c r="T267" s="90"/>
      <c r="U267" s="90"/>
    </row>
    <row r="268" spans="1:21">
      <c r="A268" s="8">
        <f>A2</f>
        <v>0</v>
      </c>
      <c r="B268" s="411"/>
      <c r="C268" s="411"/>
      <c r="D268" s="411"/>
      <c r="E268" s="411"/>
      <c r="F268" s="411"/>
      <c r="G268" s="411"/>
      <c r="H268" s="411"/>
      <c r="I268" s="411"/>
      <c r="J268" s="411"/>
      <c r="K268" s="411"/>
      <c r="L268" s="411"/>
      <c r="M268" s="411"/>
      <c r="N268" s="411"/>
      <c r="O268" s="411"/>
      <c r="P268" s="411"/>
      <c r="Q268" s="90"/>
      <c r="R268" s="90"/>
      <c r="S268" s="90"/>
      <c r="T268" s="90"/>
      <c r="U268" s="90"/>
    </row>
    <row r="269" spans="1:21">
      <c r="A269" s="8">
        <f>A3</f>
        <v>0</v>
      </c>
      <c r="B269" s="11"/>
      <c r="C269" s="11"/>
      <c r="D269" s="11"/>
      <c r="E269" s="11"/>
      <c r="F269" s="11"/>
      <c r="G269" s="11"/>
      <c r="H269" s="11"/>
      <c r="I269" s="11"/>
      <c r="J269" s="11"/>
      <c r="K269" s="11"/>
      <c r="L269" s="11"/>
      <c r="M269" s="11"/>
      <c r="N269" s="11"/>
      <c r="O269" s="11"/>
      <c r="P269" s="11"/>
      <c r="Q269" s="90"/>
      <c r="R269" s="90"/>
      <c r="S269" s="90"/>
      <c r="T269" s="90"/>
      <c r="U269" s="90"/>
    </row>
    <row r="270" spans="1:21">
      <c r="B270" s="70"/>
      <c r="C270" s="70"/>
      <c r="D270" s="70"/>
      <c r="E270" s="70"/>
      <c r="H270" s="12"/>
      <c r="I270" s="12"/>
      <c r="J270" s="12"/>
      <c r="K270" s="12"/>
      <c r="L270" s="12"/>
      <c r="M270" s="12"/>
      <c r="N270" s="14"/>
      <c r="O270" s="14"/>
      <c r="P270" s="14"/>
      <c r="Q270" s="12"/>
    </row>
    <row r="271" spans="1:21">
      <c r="A271" s="69" t="s">
        <v>356</v>
      </c>
    </row>
    <row r="272" spans="1:21">
      <c r="A272" s="9" t="s">
        <v>8</v>
      </c>
      <c r="B272" s="72" t="s">
        <v>42</v>
      </c>
      <c r="C272" s="72" t="s">
        <v>43</v>
      </c>
      <c r="D272" s="72" t="s">
        <v>44</v>
      </c>
      <c r="E272" s="72" t="s">
        <v>45</v>
      </c>
      <c r="F272" s="72" t="s">
        <v>46</v>
      </c>
      <c r="G272" s="72" t="s">
        <v>20</v>
      </c>
      <c r="H272" s="72" t="s">
        <v>21</v>
      </c>
      <c r="I272" s="72" t="s">
        <v>22</v>
      </c>
      <c r="J272" s="72" t="s">
        <v>47</v>
      </c>
      <c r="K272" s="72" t="s">
        <v>48</v>
      </c>
      <c r="L272" s="72" t="s">
        <v>172</v>
      </c>
      <c r="M272" s="72" t="s">
        <v>129</v>
      </c>
      <c r="N272" s="72" t="s">
        <v>173</v>
      </c>
      <c r="O272" s="329" t="s">
        <v>212</v>
      </c>
      <c r="P272" s="329" t="s">
        <v>297</v>
      </c>
    </row>
    <row r="273" spans="1:21">
      <c r="A273" s="8" t="s">
        <v>16</v>
      </c>
      <c r="B273" s="10">
        <v>2.843850213367674</v>
      </c>
      <c r="C273" s="10">
        <v>2.6787624365576663</v>
      </c>
      <c r="D273" s="10">
        <v>2.5792278095376813</v>
      </c>
      <c r="E273" s="10">
        <v>2.3573871886942626</v>
      </c>
      <c r="F273" s="10">
        <v>2.3476397074292126</v>
      </c>
      <c r="G273" s="10">
        <v>2.2093903765312257</v>
      </c>
      <c r="H273" s="10">
        <v>2.0835103687687462</v>
      </c>
      <c r="I273" s="10">
        <v>1.7510168998693127</v>
      </c>
      <c r="J273" s="10">
        <v>1.5859444854164899</v>
      </c>
      <c r="K273" s="10">
        <v>1.5530330802711474</v>
      </c>
      <c r="L273" s="10">
        <v>1.5286021069006916</v>
      </c>
      <c r="M273" s="10">
        <v>1.5466438861063843</v>
      </c>
      <c r="N273" s="10">
        <v>1.3988960810185345</v>
      </c>
      <c r="O273" s="10">
        <v>1.3999248647920668</v>
      </c>
      <c r="P273" s="10">
        <v>1.3619439186641233</v>
      </c>
      <c r="Q273" s="90"/>
      <c r="R273" s="90"/>
      <c r="S273" s="90"/>
      <c r="T273" s="90"/>
      <c r="U273" s="90"/>
    </row>
    <row r="274" spans="1:21">
      <c r="A274" s="8">
        <f>A2</f>
        <v>0</v>
      </c>
      <c r="B274" s="411"/>
      <c r="C274" s="411"/>
      <c r="D274" s="411"/>
      <c r="E274" s="411"/>
      <c r="F274" s="411"/>
      <c r="G274" s="411"/>
      <c r="H274" s="411"/>
      <c r="I274" s="411"/>
      <c r="J274" s="411"/>
      <c r="K274" s="411"/>
      <c r="L274" s="411"/>
      <c r="M274" s="411"/>
      <c r="N274" s="411"/>
      <c r="O274" s="411"/>
      <c r="P274" s="411"/>
      <c r="Q274" s="90"/>
      <c r="R274" s="90"/>
      <c r="S274" s="90"/>
      <c r="T274" s="90"/>
      <c r="U274" s="90"/>
    </row>
    <row r="275" spans="1:21">
      <c r="A275" s="8">
        <f>A3</f>
        <v>0</v>
      </c>
      <c r="B275" s="11"/>
      <c r="C275" s="11"/>
      <c r="D275" s="11"/>
      <c r="E275" s="11"/>
      <c r="F275" s="11"/>
      <c r="G275" s="11"/>
      <c r="H275" s="11"/>
      <c r="I275" s="11"/>
      <c r="J275" s="11"/>
      <c r="K275" s="11"/>
      <c r="L275" s="11"/>
      <c r="M275" s="11"/>
      <c r="N275" s="11"/>
      <c r="O275" s="11"/>
      <c r="P275" s="11"/>
      <c r="Q275" s="90"/>
      <c r="R275" s="90"/>
      <c r="S275" s="90"/>
      <c r="T275" s="90"/>
      <c r="U275" s="90"/>
    </row>
    <row r="276" spans="1:21">
      <c r="B276" s="70"/>
      <c r="C276" s="70"/>
      <c r="D276" s="70"/>
      <c r="E276" s="70"/>
      <c r="H276" s="12"/>
      <c r="I276" s="12"/>
      <c r="J276" s="12"/>
      <c r="K276" s="12"/>
      <c r="L276" s="12"/>
      <c r="M276" s="12"/>
      <c r="N276" s="14"/>
      <c r="O276" s="14"/>
      <c r="P276" s="14"/>
      <c r="Q276" s="12"/>
    </row>
    <row r="277" spans="1:21">
      <c r="A277" s="69" t="s">
        <v>357</v>
      </c>
    </row>
    <row r="278" spans="1:21">
      <c r="A278" s="9" t="s">
        <v>8</v>
      </c>
      <c r="B278" s="72" t="s">
        <v>42</v>
      </c>
      <c r="C278" s="72" t="s">
        <v>43</v>
      </c>
      <c r="D278" s="72" t="s">
        <v>44</v>
      </c>
      <c r="E278" s="72" t="s">
        <v>45</v>
      </c>
      <c r="F278" s="72" t="s">
        <v>46</v>
      </c>
      <c r="G278" s="72" t="s">
        <v>20</v>
      </c>
      <c r="H278" s="72" t="s">
        <v>21</v>
      </c>
      <c r="I278" s="72" t="s">
        <v>22</v>
      </c>
      <c r="J278" s="72" t="s">
        <v>47</v>
      </c>
      <c r="K278" s="72" t="s">
        <v>48</v>
      </c>
      <c r="L278" s="72" t="s">
        <v>172</v>
      </c>
      <c r="M278" s="72" t="s">
        <v>129</v>
      </c>
      <c r="N278" s="72" t="s">
        <v>173</v>
      </c>
      <c r="O278" s="329" t="s">
        <v>212</v>
      </c>
      <c r="P278" s="329" t="s">
        <v>297</v>
      </c>
    </row>
    <row r="279" spans="1:21">
      <c r="A279" s="8" t="s">
        <v>16</v>
      </c>
      <c r="B279" s="10">
        <v>2.3451506199025327</v>
      </c>
      <c r="C279" s="10">
        <v>2.1330886068885122</v>
      </c>
      <c r="D279" s="10">
        <v>2.0573134763135856</v>
      </c>
      <c r="E279" s="10">
        <v>1.995880648159962</v>
      </c>
      <c r="F279" s="10">
        <v>1.872014000469528</v>
      </c>
      <c r="G279" s="10">
        <v>1.6702866598317871</v>
      </c>
      <c r="H279" s="10">
        <v>1.4288726698202578</v>
      </c>
      <c r="I279" s="10">
        <v>1.322848533842875</v>
      </c>
      <c r="J279" s="10">
        <v>1.2335123775461587</v>
      </c>
      <c r="K279" s="10">
        <v>1.2564237580734392</v>
      </c>
      <c r="L279" s="10">
        <v>1.2309981568846278</v>
      </c>
      <c r="M279" s="10">
        <v>1.2366261806507617</v>
      </c>
      <c r="N279" s="10">
        <v>1.0603977700560248</v>
      </c>
      <c r="O279" s="10">
        <v>0.91792541767378566</v>
      </c>
      <c r="P279" s="10">
        <v>0.8933180541775434</v>
      </c>
      <c r="Q279" s="90"/>
      <c r="R279" s="90"/>
      <c r="S279" s="90"/>
      <c r="T279" s="90"/>
      <c r="U279" s="90"/>
    </row>
    <row r="280" spans="1:21">
      <c r="A280" s="8">
        <f>A2</f>
        <v>0</v>
      </c>
      <c r="B280" s="411"/>
      <c r="C280" s="411"/>
      <c r="D280" s="411"/>
      <c r="E280" s="411"/>
      <c r="F280" s="411"/>
      <c r="G280" s="411"/>
      <c r="H280" s="411"/>
      <c r="I280" s="411"/>
      <c r="J280" s="411"/>
      <c r="K280" s="411"/>
      <c r="L280" s="411"/>
      <c r="M280" s="411"/>
      <c r="N280" s="411"/>
      <c r="O280" s="411"/>
      <c r="P280" s="411"/>
      <c r="Q280" s="90"/>
      <c r="R280" s="90"/>
      <c r="S280" s="90"/>
      <c r="T280" s="90"/>
      <c r="U280" s="90"/>
    </row>
    <row r="281" spans="1:21">
      <c r="A281" s="8">
        <f>A3</f>
        <v>0</v>
      </c>
      <c r="B281" s="11"/>
      <c r="C281" s="11"/>
      <c r="D281" s="11"/>
      <c r="E281" s="11"/>
      <c r="F281" s="11"/>
      <c r="G281" s="11"/>
      <c r="H281" s="11"/>
      <c r="I281" s="11"/>
      <c r="J281" s="11"/>
      <c r="K281" s="11"/>
      <c r="L281" s="11"/>
      <c r="M281" s="11"/>
      <c r="N281" s="11"/>
      <c r="O281" s="11"/>
      <c r="P281" s="11"/>
      <c r="Q281" s="90"/>
      <c r="R281" s="90"/>
      <c r="S281" s="90"/>
      <c r="T281" s="90"/>
      <c r="U281" s="90"/>
    </row>
    <row r="282" spans="1:21">
      <c r="B282" s="70"/>
      <c r="C282" s="70"/>
      <c r="D282" s="70"/>
      <c r="E282" s="70"/>
      <c r="H282" s="12"/>
      <c r="I282" s="12"/>
      <c r="J282" s="12"/>
      <c r="K282" s="12"/>
      <c r="L282" s="12"/>
      <c r="M282" s="12"/>
      <c r="N282" s="14"/>
      <c r="O282" s="14"/>
      <c r="P282" s="14"/>
      <c r="Q282" s="12"/>
    </row>
    <row r="283" spans="1:21">
      <c r="A283" s="69" t="s">
        <v>358</v>
      </c>
    </row>
    <row r="284" spans="1:21">
      <c r="A284" s="9" t="s">
        <v>8</v>
      </c>
      <c r="B284" s="72" t="s">
        <v>42</v>
      </c>
      <c r="C284" s="72" t="s">
        <v>43</v>
      </c>
      <c r="D284" s="72" t="s">
        <v>44</v>
      </c>
      <c r="E284" s="72" t="s">
        <v>45</v>
      </c>
      <c r="F284" s="72" t="s">
        <v>46</v>
      </c>
      <c r="G284" s="72" t="s">
        <v>20</v>
      </c>
      <c r="H284" s="72" t="s">
        <v>21</v>
      </c>
      <c r="I284" s="72" t="s">
        <v>22</v>
      </c>
      <c r="J284" s="72" t="s">
        <v>47</v>
      </c>
      <c r="K284" s="72" t="s">
        <v>48</v>
      </c>
      <c r="L284" s="72" t="s">
        <v>172</v>
      </c>
      <c r="M284" s="72" t="s">
        <v>129</v>
      </c>
      <c r="N284" s="72" t="s">
        <v>173</v>
      </c>
      <c r="O284" s="329" t="s">
        <v>212</v>
      </c>
      <c r="P284" s="329" t="s">
        <v>297</v>
      </c>
    </row>
    <row r="285" spans="1:21">
      <c r="A285" s="8" t="s">
        <v>16</v>
      </c>
      <c r="B285" s="10">
        <v>4.2022749488466529</v>
      </c>
      <c r="C285" s="10">
        <v>3.8513329874237145</v>
      </c>
      <c r="D285" s="10">
        <v>3.7364869767104403</v>
      </c>
      <c r="E285" s="10">
        <v>3.5537850535186712</v>
      </c>
      <c r="F285" s="10">
        <v>3.4636874903153472</v>
      </c>
      <c r="G285" s="10">
        <v>3.2087122906416181</v>
      </c>
      <c r="H285" s="10">
        <v>2.9685043570489427</v>
      </c>
      <c r="I285" s="10">
        <v>2.7594821350616741</v>
      </c>
      <c r="J285" s="10">
        <v>2.7855697075802643</v>
      </c>
      <c r="K285" s="10">
        <v>2.8446665824787152</v>
      </c>
      <c r="L285" s="10">
        <v>2.7688219185473972</v>
      </c>
      <c r="M285" s="10">
        <v>2.6967511877728958</v>
      </c>
      <c r="N285" s="10">
        <v>2.5735458776756093</v>
      </c>
      <c r="O285" s="10">
        <v>2.5029519277679184</v>
      </c>
      <c r="P285" s="10">
        <v>2.4250924018641071</v>
      </c>
      <c r="Q285" s="90"/>
      <c r="R285" s="90"/>
      <c r="S285" s="90"/>
      <c r="T285" s="90"/>
      <c r="U285" s="90"/>
    </row>
    <row r="286" spans="1:21">
      <c r="A286" s="8">
        <f>A2</f>
        <v>0</v>
      </c>
      <c r="B286" s="411"/>
      <c r="C286" s="411"/>
      <c r="D286" s="411"/>
      <c r="E286" s="411"/>
      <c r="F286" s="411"/>
      <c r="G286" s="411"/>
      <c r="H286" s="411"/>
      <c r="I286" s="411"/>
      <c r="J286" s="411"/>
      <c r="K286" s="411"/>
      <c r="L286" s="411"/>
      <c r="M286" s="411"/>
      <c r="N286" s="411"/>
      <c r="O286" s="411"/>
      <c r="P286" s="411"/>
      <c r="Q286" s="90"/>
      <c r="R286" s="90"/>
      <c r="S286" s="90"/>
      <c r="T286" s="90"/>
      <c r="U286" s="90"/>
    </row>
    <row r="287" spans="1:21">
      <c r="A287" s="8">
        <f>A3</f>
        <v>0</v>
      </c>
      <c r="B287" s="11"/>
      <c r="C287" s="11"/>
      <c r="D287" s="11"/>
      <c r="E287" s="11"/>
      <c r="F287" s="11"/>
      <c r="G287" s="11"/>
      <c r="H287" s="11"/>
      <c r="I287" s="11"/>
      <c r="J287" s="11"/>
      <c r="K287" s="11"/>
      <c r="L287" s="11"/>
      <c r="M287" s="11"/>
      <c r="N287" s="11"/>
      <c r="O287" s="11"/>
      <c r="P287" s="11"/>
      <c r="Q287" s="90"/>
      <c r="R287" s="90"/>
      <c r="S287" s="90"/>
      <c r="T287" s="90"/>
      <c r="U287" s="90"/>
    </row>
    <row r="288" spans="1:21">
      <c r="B288" s="70"/>
      <c r="C288" s="70"/>
      <c r="D288" s="70"/>
      <c r="E288" s="70"/>
      <c r="H288" s="12"/>
      <c r="I288" s="12"/>
      <c r="J288" s="12"/>
      <c r="K288" s="12"/>
      <c r="L288" s="12"/>
      <c r="M288" s="12"/>
      <c r="N288" s="14"/>
      <c r="O288" s="14"/>
      <c r="P288" s="14"/>
      <c r="Q288" s="12"/>
    </row>
    <row r="289" spans="1:21">
      <c r="A289" s="69" t="s">
        <v>359</v>
      </c>
    </row>
    <row r="290" spans="1:21">
      <c r="A290" s="9" t="s">
        <v>8</v>
      </c>
      <c r="B290" s="72" t="s">
        <v>42</v>
      </c>
      <c r="C290" s="72" t="s">
        <v>43</v>
      </c>
      <c r="D290" s="72" t="s">
        <v>44</v>
      </c>
      <c r="E290" s="72" t="s">
        <v>45</v>
      </c>
      <c r="F290" s="72" t="s">
        <v>46</v>
      </c>
      <c r="G290" s="72" t="s">
        <v>20</v>
      </c>
      <c r="H290" s="72" t="s">
        <v>21</v>
      </c>
      <c r="I290" s="72" t="s">
        <v>22</v>
      </c>
      <c r="J290" s="72" t="s">
        <v>47</v>
      </c>
      <c r="K290" s="72" t="s">
        <v>48</v>
      </c>
      <c r="L290" s="72" t="s">
        <v>172</v>
      </c>
      <c r="M290" s="72" t="s">
        <v>129</v>
      </c>
      <c r="N290" s="72" t="s">
        <v>173</v>
      </c>
      <c r="O290" s="329" t="s">
        <v>212</v>
      </c>
      <c r="P290" s="329" t="s">
        <v>297</v>
      </c>
    </row>
    <row r="291" spans="1:21">
      <c r="A291" s="8" t="s">
        <v>16</v>
      </c>
      <c r="B291" s="10">
        <v>7.0341745217044203</v>
      </c>
      <c r="C291" s="10">
        <v>6.5197786178439951</v>
      </c>
      <c r="D291" s="10">
        <v>6.3060775351278151</v>
      </c>
      <c r="E291" s="10">
        <v>5.9027945948563953</v>
      </c>
      <c r="F291" s="10">
        <v>5.8031957074581699</v>
      </c>
      <c r="G291" s="10">
        <v>5.4110133691168434</v>
      </c>
      <c r="H291" s="10">
        <v>5.0458298162100421</v>
      </c>
      <c r="I291" s="10">
        <v>4.5056671350776067</v>
      </c>
      <c r="J291" s="10">
        <v>4.3670964340802731</v>
      </c>
      <c r="K291" s="10">
        <v>4.3932818014449309</v>
      </c>
      <c r="L291" s="10">
        <v>4.2931915984297637</v>
      </c>
      <c r="M291" s="10">
        <v>4.2392241601423608</v>
      </c>
      <c r="N291" s="10">
        <v>3.968841835451542</v>
      </c>
      <c r="O291" s="10">
        <v>3.8993728479209233</v>
      </c>
      <c r="P291" s="10">
        <v>3.7837423256867164</v>
      </c>
      <c r="Q291" s="90"/>
      <c r="R291" s="90"/>
      <c r="S291" s="90"/>
      <c r="T291" s="90"/>
      <c r="U291" s="90"/>
    </row>
    <row r="292" spans="1:21">
      <c r="A292" s="8">
        <f>A2</f>
        <v>0</v>
      </c>
      <c r="B292" s="411"/>
      <c r="C292" s="411"/>
      <c r="D292" s="411"/>
      <c r="E292" s="411"/>
      <c r="F292" s="411"/>
      <c r="G292" s="411"/>
      <c r="H292" s="411"/>
      <c r="I292" s="411"/>
      <c r="J292" s="411"/>
      <c r="K292" s="411"/>
      <c r="L292" s="411"/>
      <c r="M292" s="411"/>
      <c r="N292" s="411"/>
      <c r="O292" s="411"/>
      <c r="P292" s="411"/>
      <c r="Q292" s="90"/>
      <c r="R292" s="90"/>
      <c r="S292" s="90"/>
      <c r="T292" s="90"/>
      <c r="U292" s="90"/>
    </row>
    <row r="293" spans="1:21">
      <c r="A293" s="8">
        <f>A3</f>
        <v>0</v>
      </c>
      <c r="B293" s="11"/>
      <c r="C293" s="11"/>
      <c r="D293" s="11"/>
      <c r="E293" s="11"/>
      <c r="F293" s="11"/>
      <c r="G293" s="11"/>
      <c r="H293" s="11"/>
      <c r="I293" s="11"/>
      <c r="J293" s="11"/>
      <c r="K293" s="11"/>
      <c r="L293" s="11"/>
      <c r="M293" s="11"/>
      <c r="N293" s="11"/>
      <c r="O293" s="11"/>
      <c r="P293" s="11"/>
      <c r="Q293" s="90"/>
      <c r="R293" s="90"/>
      <c r="S293" s="90"/>
      <c r="T293" s="90"/>
      <c r="U293" s="90"/>
    </row>
    <row r="294" spans="1:21">
      <c r="B294" s="70"/>
      <c r="C294" s="70"/>
      <c r="D294" s="70"/>
      <c r="E294" s="70"/>
      <c r="H294" s="12"/>
      <c r="I294" s="12"/>
      <c r="J294" s="12"/>
      <c r="K294" s="12"/>
      <c r="L294" s="12"/>
      <c r="M294" s="12"/>
      <c r="N294" s="14"/>
      <c r="O294" s="14"/>
      <c r="P294" s="12"/>
      <c r="Q294" s="12"/>
    </row>
    <row r="295" spans="1:21">
      <c r="A295" s="8" t="s">
        <v>360</v>
      </c>
    </row>
    <row r="296" spans="1:21">
      <c r="B296" s="338" t="s">
        <v>16</v>
      </c>
      <c r="C296" s="338">
        <f>A2</f>
        <v>0</v>
      </c>
      <c r="D296" s="338">
        <f>A3</f>
        <v>0</v>
      </c>
    </row>
    <row r="297" spans="1:21">
      <c r="A297" s="8" t="s">
        <v>280</v>
      </c>
      <c r="B297" s="10">
        <v>2.417320721808546</v>
      </c>
      <c r="C297" s="411"/>
      <c r="D297" s="11"/>
    </row>
    <row r="298" spans="1:21">
      <c r="A298" s="8" t="s">
        <v>23</v>
      </c>
      <c r="B298" s="10">
        <v>23.970617830549408</v>
      </c>
      <c r="C298" s="411"/>
      <c r="D298" s="11"/>
    </row>
    <row r="299" spans="1:21">
      <c r="A299" s="8" t="s">
        <v>61</v>
      </c>
      <c r="B299" s="10">
        <v>5.2307640705708733</v>
      </c>
      <c r="C299" s="411"/>
      <c r="D299" s="11"/>
    </row>
    <row r="300" spans="1:21">
      <c r="A300" s="8" t="s">
        <v>217</v>
      </c>
      <c r="B300" s="10">
        <v>31.549607566914872</v>
      </c>
      <c r="C300" s="411"/>
      <c r="D300" s="11"/>
    </row>
    <row r="301" spans="1:21">
      <c r="A301" s="8" t="s">
        <v>218</v>
      </c>
      <c r="B301" s="10">
        <v>11.255785872408936</v>
      </c>
      <c r="C301" s="411"/>
      <c r="D301" s="11"/>
    </row>
    <row r="302" spans="1:21">
      <c r="A302" s="8" t="s">
        <v>219</v>
      </c>
      <c r="B302" s="10">
        <v>4.3865298182062116</v>
      </c>
      <c r="C302" s="411"/>
      <c r="D302" s="11"/>
    </row>
    <row r="303" spans="1:21">
      <c r="A303" s="8" t="s">
        <v>56</v>
      </c>
      <c r="B303" s="10">
        <v>9.4945327698396724</v>
      </c>
      <c r="C303" s="411"/>
      <c r="D303" s="11"/>
    </row>
    <row r="304" spans="1:21">
      <c r="A304" s="8" t="s">
        <v>54</v>
      </c>
      <c r="B304" s="10">
        <v>4.1051184007513255</v>
      </c>
      <c r="C304" s="411"/>
      <c r="D304" s="11"/>
    </row>
    <row r="305" spans="1:8">
      <c r="A305" s="8" t="s">
        <v>55</v>
      </c>
      <c r="B305" s="10">
        <v>7.5897229489501532</v>
      </c>
      <c r="C305" s="411"/>
      <c r="D305" s="11"/>
    </row>
    <row r="307" spans="1:8">
      <c r="A307" s="339" t="s">
        <v>361</v>
      </c>
    </row>
    <row r="308" spans="1:8">
      <c r="B308" s="338" t="s">
        <v>16</v>
      </c>
      <c r="C308" s="338">
        <f>A2</f>
        <v>0</v>
      </c>
      <c r="D308" s="338">
        <f>A3</f>
        <v>0</v>
      </c>
    </row>
    <row r="309" spans="1:8">
      <c r="A309" s="8" t="s">
        <v>280</v>
      </c>
      <c r="B309" s="10">
        <v>3.5590751866011288</v>
      </c>
      <c r="C309" s="411"/>
      <c r="D309" s="11"/>
    </row>
    <row r="310" spans="1:8">
      <c r="A310" s="8" t="s">
        <v>23</v>
      </c>
      <c r="B310" s="10">
        <v>37.691405222808825</v>
      </c>
      <c r="C310" s="411"/>
      <c r="D310" s="11"/>
    </row>
    <row r="311" spans="1:8">
      <c r="A311" s="8" t="s">
        <v>61</v>
      </c>
      <c r="B311" s="10">
        <v>4.1820903371968363</v>
      </c>
      <c r="C311" s="411"/>
      <c r="D311" s="11"/>
    </row>
    <row r="312" spans="1:8">
      <c r="A312" s="8" t="s">
        <v>217</v>
      </c>
      <c r="B312" s="10">
        <v>19.387301009365455</v>
      </c>
      <c r="C312" s="411"/>
      <c r="D312" s="11"/>
    </row>
    <row r="313" spans="1:8">
      <c r="A313" s="8" t="s">
        <v>218</v>
      </c>
      <c r="B313" s="10">
        <v>5.6769221433339396</v>
      </c>
      <c r="C313" s="411"/>
      <c r="D313" s="11"/>
    </row>
    <row r="314" spans="1:8">
      <c r="A314" s="8" t="s">
        <v>219</v>
      </c>
      <c r="B314" s="10">
        <v>5.9742702833909824</v>
      </c>
      <c r="C314" s="411"/>
      <c r="D314" s="11"/>
    </row>
    <row r="315" spans="1:8">
      <c r="A315" s="8" t="s">
        <v>56</v>
      </c>
      <c r="B315" s="10">
        <v>9.3836600117321041</v>
      </c>
      <c r="C315" s="411"/>
      <c r="D315" s="11"/>
    </row>
    <row r="316" spans="1:8">
      <c r="A316" s="8" t="s">
        <v>54</v>
      </c>
      <c r="B316" s="10">
        <v>7.7897121589093192</v>
      </c>
      <c r="C316" s="411"/>
      <c r="D316" s="11"/>
    </row>
    <row r="317" spans="1:8">
      <c r="A317" s="8" t="s">
        <v>55</v>
      </c>
      <c r="B317" s="10">
        <v>6.3555636466614001</v>
      </c>
      <c r="C317" s="411"/>
      <c r="D317" s="11"/>
    </row>
    <row r="319" spans="1:8">
      <c r="A319" s="8" t="s">
        <v>362</v>
      </c>
    </row>
    <row r="320" spans="1:8">
      <c r="B320" s="8" t="s">
        <v>220</v>
      </c>
      <c r="C320" s="8" t="s">
        <v>57</v>
      </c>
      <c r="D320" s="8" t="s">
        <v>58</v>
      </c>
      <c r="E320" s="8" t="s">
        <v>59</v>
      </c>
      <c r="F320" s="8" t="s">
        <v>60</v>
      </c>
      <c r="H320" s="8" t="s">
        <v>558</v>
      </c>
    </row>
    <row r="321" spans="1:17">
      <c r="A321" s="8" t="str">
        <f>IF(B321="…","","Doenças infeciosas")</f>
        <v>Doenças infeciosas</v>
      </c>
      <c r="B321" s="11"/>
      <c r="C321" s="11"/>
      <c r="D321" s="11"/>
      <c r="E321" s="11"/>
      <c r="F321" s="11"/>
    </row>
    <row r="322" spans="1:17">
      <c r="A322" s="8" t="str">
        <f>IF(B322="…","","Tumores malignos")</f>
        <v>Tumores malignos</v>
      </c>
      <c r="B322" s="11"/>
      <c r="C322" s="11"/>
      <c r="D322" s="11"/>
      <c r="E322" s="11"/>
      <c r="F322" s="11"/>
    </row>
    <row r="323" spans="1:17">
      <c r="A323" s="8" t="str">
        <f>IF(B323="…","","Doenças endócrinas")</f>
        <v>Doenças endócrinas</v>
      </c>
      <c r="B323" s="11"/>
      <c r="C323" s="11"/>
      <c r="D323" s="11"/>
      <c r="E323" s="11"/>
      <c r="F323" s="11"/>
    </row>
    <row r="324" spans="1:17">
      <c r="A324" s="8" t="str">
        <f>IF(B324="…","","Doenças aparelho circulatório")</f>
        <v>Doenças aparelho circulatório</v>
      </c>
      <c r="B324" s="11"/>
      <c r="C324" s="11"/>
      <c r="D324" s="11"/>
      <c r="E324" s="11"/>
      <c r="F324" s="11"/>
    </row>
    <row r="325" spans="1:17">
      <c r="A325" s="8" t="str">
        <f>IF(B325="…","","Doenças do aparelho respiratório")</f>
        <v>Doenças do aparelho respiratório</v>
      </c>
      <c r="B325" s="11"/>
      <c r="C325" s="11"/>
      <c r="D325" s="11"/>
      <c r="E325" s="11"/>
      <c r="F325" s="11"/>
    </row>
    <row r="326" spans="1:17">
      <c r="A326" s="8" t="str">
        <f>IF(B326="…","","Doenças do aparelho digestivo")</f>
        <v>Doenças do aparelho digestivo</v>
      </c>
      <c r="B326" s="11"/>
      <c r="C326" s="11"/>
      <c r="D326" s="11"/>
      <c r="E326" s="11"/>
      <c r="F326" s="11"/>
    </row>
    <row r="327" spans="1:17">
      <c r="A327" s="8" t="str">
        <f>IF(B327="…","","SSA não classificados")</f>
        <v>SSA não classificados</v>
      </c>
      <c r="B327" s="11"/>
      <c r="C327" s="11"/>
      <c r="D327" s="11"/>
      <c r="E327" s="11"/>
      <c r="F327" s="11"/>
    </row>
    <row r="328" spans="1:17">
      <c r="A328" s="8" t="str">
        <f>IF(B328="…","","Causas externas")</f>
        <v>Causas externas</v>
      </c>
      <c r="B328" s="11"/>
      <c r="C328" s="11"/>
      <c r="D328" s="11"/>
      <c r="E328" s="11"/>
      <c r="F328" s="11"/>
    </row>
    <row r="329" spans="1:17">
      <c r="A329" s="8" t="str">
        <f>IF(OR(B321="…",B322="…",B323="…",B324="…",B325="…",B326="…",B327="…",B328="…"),"","Outras causas")</f>
        <v>Outras causas</v>
      </c>
      <c r="B329" s="11"/>
      <c r="C329" s="11"/>
      <c r="D329" s="11"/>
      <c r="E329" s="11"/>
      <c r="F329" s="11"/>
    </row>
    <row r="330" spans="1:17">
      <c r="A330" s="8" t="str">
        <f>IF($H$321=0,"","Sem Informação Disponibilizada")</f>
        <v/>
      </c>
      <c r="B330" s="10" t="str">
        <f>IF($H$321=0,"",100-SUM(B321:B328))</f>
        <v/>
      </c>
      <c r="C330" s="10" t="str">
        <f t="shared" ref="C330:F330" si="32">IF($H$321=0,"",100-SUM(C321:C328))</f>
        <v/>
      </c>
      <c r="D330" s="10" t="str">
        <f t="shared" si="32"/>
        <v/>
      </c>
      <c r="E330" s="10" t="str">
        <f t="shared" si="32"/>
        <v/>
      </c>
      <c r="F330" s="10" t="str">
        <f t="shared" si="32"/>
        <v/>
      </c>
      <c r="H330" s="12"/>
      <c r="I330" s="12"/>
      <c r="J330" s="12"/>
      <c r="K330" s="12"/>
      <c r="L330" s="12"/>
      <c r="M330" s="12"/>
      <c r="N330" s="14"/>
      <c r="O330" s="14"/>
      <c r="P330" s="12"/>
      <c r="Q330" s="12"/>
    </row>
    <row r="331" spans="1:17">
      <c r="A331" s="339" t="s">
        <v>363</v>
      </c>
      <c r="E331" s="70"/>
      <c r="H331" s="12"/>
      <c r="I331" s="12"/>
      <c r="J331" s="12"/>
      <c r="K331" s="12"/>
      <c r="L331" s="12"/>
      <c r="M331" s="12"/>
      <c r="N331" s="14"/>
      <c r="O331" s="14"/>
      <c r="P331" s="12"/>
      <c r="Q331" s="12"/>
    </row>
    <row r="332" spans="1:17" ht="15" customHeight="1">
      <c r="B332" s="944" t="s">
        <v>16</v>
      </c>
      <c r="C332" s="945"/>
      <c r="D332" s="945"/>
      <c r="E332" s="944">
        <f>A2</f>
        <v>0</v>
      </c>
      <c r="F332" s="945"/>
      <c r="G332" s="945"/>
      <c r="H332" s="944">
        <f>A3</f>
        <v>0</v>
      </c>
      <c r="I332" s="945"/>
      <c r="J332" s="945"/>
      <c r="K332" s="12"/>
      <c r="L332" s="944">
        <f>A2</f>
        <v>0</v>
      </c>
      <c r="M332" s="944"/>
      <c r="N332" s="944"/>
      <c r="O332" s="944">
        <f>A3</f>
        <v>0</v>
      </c>
      <c r="P332" s="944"/>
      <c r="Q332" s="944"/>
    </row>
    <row r="333" spans="1:17">
      <c r="B333" s="8" t="s">
        <v>13</v>
      </c>
      <c r="C333" s="8" t="s">
        <v>14</v>
      </c>
      <c r="D333" s="8" t="s">
        <v>15</v>
      </c>
      <c r="E333" s="8" t="s">
        <v>13</v>
      </c>
      <c r="F333" s="8" t="s">
        <v>14</v>
      </c>
      <c r="G333" s="8" t="s">
        <v>15</v>
      </c>
      <c r="H333" s="8" t="s">
        <v>13</v>
      </c>
      <c r="I333" s="8" t="s">
        <v>14</v>
      </c>
      <c r="J333" s="8" t="s">
        <v>15</v>
      </c>
      <c r="K333" s="12"/>
      <c r="L333" s="8" t="s">
        <v>13</v>
      </c>
      <c r="M333" s="8" t="s">
        <v>14</v>
      </c>
      <c r="N333" s="8" t="s">
        <v>15</v>
      </c>
      <c r="O333" s="8" t="s">
        <v>13</v>
      </c>
      <c r="P333" s="8" t="s">
        <v>14</v>
      </c>
      <c r="Q333" s="8" t="s">
        <v>15</v>
      </c>
    </row>
    <row r="334" spans="1:17">
      <c r="A334" s="8" t="s">
        <v>24</v>
      </c>
      <c r="B334" s="10">
        <v>284.10385677020207</v>
      </c>
      <c r="C334" s="10">
        <v>402.92245073411522</v>
      </c>
      <c r="D334" s="259">
        <v>179.73583153521088</v>
      </c>
      <c r="E334" s="411"/>
      <c r="F334" s="411"/>
      <c r="G334" s="411"/>
      <c r="H334" s="341"/>
      <c r="I334" s="11"/>
      <c r="J334" s="341"/>
      <c r="K334" s="12"/>
      <c r="L334" s="483"/>
      <c r="M334" s="483"/>
      <c r="N334" s="483"/>
      <c r="O334" s="343"/>
      <c r="P334" s="343"/>
      <c r="Q334" s="89"/>
    </row>
    <row r="335" spans="1:17">
      <c r="A335" s="8" t="s">
        <v>365</v>
      </c>
      <c r="B335" s="10">
        <v>27.702251029466936</v>
      </c>
      <c r="C335" s="10">
        <v>42.407015892561851</v>
      </c>
      <c r="D335" s="259">
        <v>14.450190034124276</v>
      </c>
      <c r="E335" s="411"/>
      <c r="F335" s="411"/>
      <c r="G335" s="411"/>
      <c r="H335" s="341"/>
      <c r="I335" s="11"/>
      <c r="J335" s="341"/>
      <c r="K335" s="12"/>
      <c r="L335" s="483"/>
      <c r="M335" s="483"/>
      <c r="N335" s="483"/>
      <c r="O335" s="343"/>
      <c r="P335" s="343"/>
      <c r="Q335" s="89"/>
    </row>
    <row r="336" spans="1:17">
      <c r="A336" s="8" t="s">
        <v>366</v>
      </c>
      <c r="B336" s="10">
        <v>10.717605797846375</v>
      </c>
      <c r="C336" s="10">
        <v>16.173674518421201</v>
      </c>
      <c r="D336" s="259">
        <v>5.7113909508814302</v>
      </c>
      <c r="E336" s="411"/>
      <c r="F336" s="411"/>
      <c r="G336" s="411"/>
      <c r="H336" s="341"/>
      <c r="I336" s="11"/>
      <c r="J336" s="341"/>
      <c r="K336" s="12"/>
      <c r="L336" s="483"/>
      <c r="M336" s="483"/>
      <c r="N336" s="483"/>
      <c r="O336" s="343"/>
      <c r="P336" s="343"/>
      <c r="Q336" s="89"/>
    </row>
    <row r="337" spans="1:17">
      <c r="A337" s="8" t="s">
        <v>29</v>
      </c>
      <c r="B337" s="10">
        <v>0.83980520589189278</v>
      </c>
      <c r="C337" s="10">
        <v>1.4090765869753989</v>
      </c>
      <c r="D337" s="259">
        <v>0.33343658582249519</v>
      </c>
      <c r="E337" s="411"/>
      <c r="F337" s="411"/>
      <c r="G337" s="411"/>
      <c r="H337" s="341"/>
      <c r="I337" s="11"/>
      <c r="J337" s="341"/>
      <c r="K337" s="12"/>
      <c r="L337" s="483"/>
      <c r="M337" s="483"/>
      <c r="N337" s="483"/>
      <c r="O337" s="343"/>
      <c r="P337" s="343"/>
      <c r="Q337" s="89"/>
    </row>
    <row r="338" spans="1:17">
      <c r="A338" s="8" t="s">
        <v>69</v>
      </c>
      <c r="B338" s="10">
        <v>5.657681956941552</v>
      </c>
      <c r="C338" s="10">
        <v>9.0995156659545007</v>
      </c>
      <c r="D338" s="259">
        <v>2.4406525475545893</v>
      </c>
      <c r="E338" s="411"/>
      <c r="F338" s="411"/>
      <c r="G338" s="411"/>
      <c r="H338" s="341"/>
      <c r="I338" s="11"/>
      <c r="J338" s="341"/>
      <c r="K338" s="12"/>
      <c r="L338" s="483"/>
      <c r="M338" s="483"/>
      <c r="N338" s="483"/>
      <c r="O338" s="343"/>
      <c r="P338" s="343"/>
      <c r="Q338" s="89"/>
    </row>
    <row r="339" spans="1:17">
      <c r="A339" s="8" t="s">
        <v>23</v>
      </c>
      <c r="B339" s="10">
        <v>106.06309147885354</v>
      </c>
      <c r="C339" s="10">
        <v>143.6190932064882</v>
      </c>
      <c r="D339" s="259">
        <v>73.798406535861346</v>
      </c>
      <c r="E339" s="411"/>
      <c r="F339" s="411"/>
      <c r="G339" s="411"/>
      <c r="H339" s="341"/>
      <c r="I339" s="11"/>
      <c r="J339" s="341"/>
      <c r="K339" s="12"/>
      <c r="L339" s="483"/>
      <c r="M339" s="483"/>
      <c r="N339" s="483"/>
      <c r="O339" s="343"/>
      <c r="P339" s="343"/>
      <c r="Q339" s="89"/>
    </row>
    <row r="340" spans="1:17">
      <c r="A340" s="8" t="s">
        <v>367</v>
      </c>
      <c r="B340" s="10">
        <v>4.6729678815660165</v>
      </c>
      <c r="C340" s="10">
        <v>8.8120863420453279</v>
      </c>
      <c r="D340" s="259">
        <v>0.97118566540071494</v>
      </c>
      <c r="E340" s="411"/>
      <c r="F340" s="411"/>
      <c r="G340" s="411"/>
      <c r="H340" s="341"/>
      <c r="I340" s="11"/>
      <c r="J340" s="341"/>
      <c r="K340" s="12"/>
      <c r="L340" s="483"/>
      <c r="M340" s="483"/>
      <c r="N340" s="483"/>
      <c r="O340" s="343"/>
      <c r="P340" s="343"/>
      <c r="Q340" s="89"/>
    </row>
    <row r="341" spans="1:17">
      <c r="A341" s="8" t="s">
        <v>368</v>
      </c>
      <c r="B341" s="10">
        <v>37.856796207627291</v>
      </c>
      <c r="C341" s="10">
        <v>55.354491121002496</v>
      </c>
      <c r="D341" s="259">
        <v>22.742459571749947</v>
      </c>
      <c r="E341" s="411"/>
      <c r="F341" s="411"/>
      <c r="G341" s="411"/>
      <c r="H341" s="341"/>
      <c r="I341" s="11"/>
      <c r="J341" s="341"/>
      <c r="K341" s="12"/>
      <c r="L341" s="483"/>
      <c r="M341" s="483"/>
      <c r="N341" s="483"/>
      <c r="O341" s="343"/>
      <c r="P341" s="343"/>
      <c r="Q341" s="89"/>
    </row>
    <row r="342" spans="1:17">
      <c r="A342" s="8" t="s">
        <v>185</v>
      </c>
      <c r="B342" s="10">
        <v>3.2532612269924215</v>
      </c>
      <c r="C342" s="10">
        <v>6.3729445564508751</v>
      </c>
      <c r="D342" s="259">
        <v>0.48341407161825539</v>
      </c>
      <c r="E342" s="411"/>
      <c r="F342" s="411"/>
      <c r="G342" s="411"/>
      <c r="H342" s="341"/>
      <c r="I342" s="11"/>
      <c r="J342" s="341"/>
      <c r="K342" s="12"/>
      <c r="L342" s="483"/>
      <c r="M342" s="483"/>
      <c r="N342" s="483"/>
      <c r="O342" s="343"/>
      <c r="P342" s="343"/>
      <c r="Q342" s="89"/>
    </row>
    <row r="343" spans="1:17">
      <c r="A343" s="8" t="s">
        <v>186</v>
      </c>
      <c r="B343" s="10">
        <v>9.7548446497461825</v>
      </c>
      <c r="C343" s="10">
        <v>14.000953119314378</v>
      </c>
      <c r="D343" s="259">
        <v>6.0981394210288338</v>
      </c>
      <c r="E343" s="411"/>
      <c r="F343" s="411"/>
      <c r="G343" s="411"/>
      <c r="H343" s="341"/>
      <c r="I343" s="11"/>
      <c r="J343" s="341"/>
      <c r="K343" s="12"/>
      <c r="L343" s="483"/>
      <c r="M343" s="483"/>
      <c r="N343" s="483"/>
      <c r="O343" s="343"/>
      <c r="P343" s="343"/>
      <c r="Q343" s="89"/>
    </row>
    <row r="344" spans="1:17">
      <c r="A344" s="8" t="s">
        <v>369</v>
      </c>
      <c r="B344" s="10">
        <v>13.317334277188877</v>
      </c>
      <c r="C344" s="10">
        <v>18.229011089740023</v>
      </c>
      <c r="D344" s="259">
        <v>9.1620552449256039</v>
      </c>
      <c r="E344" s="411"/>
      <c r="F344" s="411"/>
      <c r="G344" s="411"/>
      <c r="H344" s="341"/>
      <c r="I344" s="11"/>
      <c r="J344" s="341"/>
      <c r="K344" s="12"/>
      <c r="L344" s="483"/>
      <c r="M344" s="483"/>
      <c r="N344" s="483"/>
      <c r="O344" s="343"/>
      <c r="P344" s="343"/>
      <c r="Q344" s="89"/>
    </row>
    <row r="345" spans="1:17">
      <c r="A345" s="8" t="s">
        <v>187</v>
      </c>
      <c r="B345" s="10">
        <v>5.1528553492082523</v>
      </c>
      <c r="C345" s="10">
        <v>7.0570646063707576</v>
      </c>
      <c r="D345" s="260">
        <v>3.5028532190059951</v>
      </c>
      <c r="E345" s="411"/>
      <c r="F345" s="411"/>
      <c r="G345" s="484"/>
      <c r="H345" s="341"/>
      <c r="I345" s="342"/>
      <c r="J345" s="341"/>
      <c r="K345" s="12"/>
      <c r="L345" s="483"/>
      <c r="M345" s="483"/>
      <c r="N345" s="483"/>
      <c r="O345" s="343"/>
      <c r="P345" s="343"/>
      <c r="Q345" s="89"/>
    </row>
    <row r="346" spans="1:17">
      <c r="A346" s="8" t="s">
        <v>370</v>
      </c>
      <c r="B346" s="10">
        <v>21.761429640313267</v>
      </c>
      <c r="C346" s="10">
        <v>38.686100360002548</v>
      </c>
      <c r="D346" s="259">
        <v>7.0875249327561827</v>
      </c>
      <c r="E346" s="411"/>
      <c r="F346" s="411"/>
      <c r="G346" s="411"/>
      <c r="H346" s="341"/>
      <c r="I346" s="11"/>
      <c r="J346" s="341"/>
      <c r="K346" s="12"/>
      <c r="L346" s="483"/>
      <c r="M346" s="483"/>
      <c r="N346" s="483"/>
      <c r="O346" s="343"/>
      <c r="P346" s="343"/>
      <c r="Q346" s="89"/>
    </row>
    <row r="347" spans="1:17">
      <c r="A347" s="8" t="s">
        <v>188</v>
      </c>
      <c r="B347" s="10">
        <v>18.982449372305222</v>
      </c>
      <c r="C347" s="10">
        <v>33.228092566603358</v>
      </c>
      <c r="D347" s="259">
        <v>6.6755188563378187</v>
      </c>
      <c r="E347" s="411"/>
      <c r="F347" s="411"/>
      <c r="G347" s="411"/>
      <c r="H347" s="341"/>
      <c r="I347" s="11"/>
      <c r="J347" s="341"/>
      <c r="K347" s="12"/>
      <c r="L347" s="483"/>
      <c r="M347" s="483"/>
      <c r="N347" s="483"/>
      <c r="O347" s="343"/>
      <c r="P347" s="343"/>
      <c r="Q347" s="89"/>
    </row>
    <row r="348" spans="1:17">
      <c r="A348" s="8" t="s">
        <v>371</v>
      </c>
      <c r="B348" s="10">
        <v>10.302076821187823</v>
      </c>
      <c r="C348" s="10">
        <v>2.7733240308893761</v>
      </c>
      <c r="D348" s="259">
        <v>17.00299969920458</v>
      </c>
      <c r="E348" s="411"/>
      <c r="F348" s="411"/>
      <c r="G348" s="411"/>
      <c r="H348" s="341"/>
      <c r="I348" s="11"/>
      <c r="J348" s="341"/>
      <c r="K348" s="12"/>
      <c r="L348" s="483"/>
      <c r="M348" s="483"/>
      <c r="N348" s="483"/>
      <c r="O348" s="343"/>
      <c r="P348" s="343"/>
      <c r="Q348" s="89"/>
    </row>
    <row r="349" spans="1:17">
      <c r="A349" s="8" t="s">
        <v>372</v>
      </c>
      <c r="B349" s="10"/>
      <c r="C349" s="10"/>
      <c r="D349" s="259">
        <v>15.347011518209854</v>
      </c>
      <c r="E349" s="411"/>
      <c r="F349" s="411"/>
      <c r="G349" s="411"/>
      <c r="H349" s="341"/>
      <c r="I349" s="11"/>
      <c r="J349" s="341"/>
      <c r="K349" s="12"/>
      <c r="L349" s="483"/>
      <c r="M349" s="483"/>
      <c r="N349" s="483"/>
      <c r="O349" s="343"/>
      <c r="P349" s="343"/>
      <c r="Q349" s="89"/>
    </row>
    <row r="350" spans="1:17">
      <c r="A350" s="8" t="s">
        <v>373</v>
      </c>
      <c r="B350" s="10">
        <v>12.440466707834362</v>
      </c>
      <c r="C350" s="10">
        <v>14.027945777333093</v>
      </c>
      <c r="D350" s="259">
        <v>11.279098647188931</v>
      </c>
      <c r="E350" s="411"/>
      <c r="F350" s="411"/>
      <c r="G350" s="411"/>
      <c r="H350" s="341"/>
      <c r="I350" s="11"/>
      <c r="J350" s="341"/>
      <c r="K350" s="12"/>
      <c r="L350" s="483"/>
      <c r="M350" s="483"/>
      <c r="N350" s="483"/>
      <c r="O350" s="343"/>
      <c r="P350" s="343"/>
      <c r="Q350" s="89"/>
    </row>
    <row r="351" spans="1:17">
      <c r="A351" s="8" t="s">
        <v>189</v>
      </c>
      <c r="B351" s="10"/>
      <c r="C351" s="10"/>
      <c r="D351" s="259">
        <v>2.8969958499084258</v>
      </c>
      <c r="E351" s="411"/>
      <c r="F351" s="411"/>
      <c r="G351" s="411"/>
      <c r="H351" s="341"/>
      <c r="I351" s="11"/>
      <c r="J351" s="341"/>
      <c r="K351" s="12"/>
      <c r="L351" s="483"/>
      <c r="M351" s="483"/>
      <c r="N351" s="483"/>
      <c r="O351" s="343"/>
      <c r="P351" s="343"/>
      <c r="Q351" s="89"/>
    </row>
    <row r="352" spans="1:17">
      <c r="A352" s="8" t="s">
        <v>184</v>
      </c>
      <c r="B352" s="10"/>
      <c r="C352" s="10">
        <v>6.8802094976729169</v>
      </c>
      <c r="E352" s="411"/>
      <c r="F352" s="411"/>
      <c r="G352" s="411"/>
      <c r="H352" s="341"/>
      <c r="I352" s="11"/>
      <c r="J352" s="341"/>
      <c r="K352" s="12"/>
      <c r="L352" s="483"/>
      <c r="M352" s="483"/>
      <c r="N352" s="483"/>
      <c r="O352" s="343"/>
      <c r="P352" s="343"/>
      <c r="Q352" s="89"/>
    </row>
    <row r="353" spans="1:17">
      <c r="A353" s="8" t="s">
        <v>190</v>
      </c>
      <c r="B353" s="10">
        <v>2.2415233660214877</v>
      </c>
      <c r="C353" s="10">
        <v>4.1187579199290454</v>
      </c>
      <c r="D353" s="259">
        <v>0.65218014308729966</v>
      </c>
      <c r="E353" s="411"/>
      <c r="F353" s="411"/>
      <c r="G353" s="411"/>
      <c r="H353" s="341"/>
      <c r="I353" s="11"/>
      <c r="J353" s="341"/>
      <c r="K353" s="12"/>
      <c r="L353" s="483"/>
      <c r="M353" s="483"/>
      <c r="N353" s="483"/>
      <c r="O353" s="343"/>
      <c r="P353" s="343"/>
      <c r="Q353" s="89"/>
    </row>
    <row r="354" spans="1:17">
      <c r="A354" s="8" t="s">
        <v>374</v>
      </c>
      <c r="B354" s="10">
        <v>9.5930088700626328</v>
      </c>
      <c r="C354" s="10">
        <v>12.317839304183808</v>
      </c>
      <c r="D354" s="259">
        <v>7.198297796183919</v>
      </c>
      <c r="E354" s="411"/>
      <c r="F354" s="411"/>
      <c r="G354" s="411"/>
      <c r="H354" s="341"/>
      <c r="I354" s="11"/>
      <c r="J354" s="341"/>
      <c r="K354" s="12"/>
      <c r="L354" s="483"/>
      <c r="M354" s="483"/>
      <c r="N354" s="483"/>
      <c r="O354" s="343"/>
      <c r="P354" s="343"/>
      <c r="Q354" s="89"/>
    </row>
    <row r="355" spans="1:17">
      <c r="A355" s="8" t="s">
        <v>375</v>
      </c>
      <c r="B355" s="10">
        <v>8.0032678554965031</v>
      </c>
      <c r="C355" s="10">
        <v>9.9608031078593946</v>
      </c>
      <c r="D355" s="259">
        <v>6.3044676289279247</v>
      </c>
      <c r="E355" s="411"/>
      <c r="F355" s="411"/>
      <c r="G355" s="411"/>
      <c r="H355" s="341"/>
      <c r="I355" s="11"/>
      <c r="J355" s="341"/>
      <c r="K355" s="12"/>
      <c r="L355" s="483"/>
      <c r="M355" s="483"/>
      <c r="N355" s="483"/>
      <c r="O355" s="343"/>
      <c r="P355" s="343"/>
      <c r="Q355" s="89"/>
    </row>
    <row r="356" spans="1:17">
      <c r="A356" s="8" t="s">
        <v>376</v>
      </c>
      <c r="B356" s="10">
        <v>10.992655895920212</v>
      </c>
      <c r="C356" s="10">
        <v>13.310696341515671</v>
      </c>
      <c r="D356" s="259">
        <v>9.0109043785410812</v>
      </c>
      <c r="E356" s="411"/>
      <c r="F356" s="411"/>
      <c r="G356" s="411"/>
      <c r="H356" s="341"/>
      <c r="I356" s="11"/>
      <c r="J356" s="341"/>
      <c r="K356" s="12"/>
      <c r="L356" s="483"/>
      <c r="M356" s="483"/>
      <c r="N356" s="483"/>
      <c r="O356" s="343"/>
      <c r="P356" s="343"/>
      <c r="Q356" s="89"/>
    </row>
    <row r="357" spans="1:17">
      <c r="A357" s="8" t="s">
        <v>30</v>
      </c>
      <c r="B357" s="10">
        <v>8.8053714734633299</v>
      </c>
      <c r="C357" s="10">
        <v>11.044673744438203</v>
      </c>
      <c r="D357" s="259">
        <v>6.877703471527739</v>
      </c>
      <c r="E357" s="411"/>
      <c r="F357" s="411"/>
      <c r="G357" s="411"/>
      <c r="H357" s="341"/>
      <c r="I357" s="11"/>
      <c r="J357" s="341"/>
      <c r="K357" s="12"/>
      <c r="L357" s="483"/>
      <c r="M357" s="483"/>
      <c r="N357" s="483"/>
      <c r="O357" s="343"/>
      <c r="P357" s="343"/>
      <c r="Q357" s="89"/>
    </row>
    <row r="358" spans="1:17">
      <c r="A358" s="8" t="s">
        <v>25</v>
      </c>
      <c r="B358" s="10">
        <v>51.400976213582297</v>
      </c>
      <c r="C358" s="10">
        <v>73.603639305096337</v>
      </c>
      <c r="D358" s="259">
        <v>32.28458563559159</v>
      </c>
      <c r="E358" s="411"/>
      <c r="F358" s="411"/>
      <c r="G358" s="411"/>
      <c r="H358" s="341"/>
      <c r="I358" s="11"/>
      <c r="J358" s="341"/>
      <c r="K358" s="12"/>
      <c r="L358" s="483"/>
      <c r="M358" s="483"/>
      <c r="N358" s="483"/>
      <c r="O358" s="343"/>
      <c r="P358" s="343"/>
      <c r="Q358" s="89"/>
    </row>
    <row r="359" spans="1:17">
      <c r="A359" s="8" t="s">
        <v>31</v>
      </c>
      <c r="B359" s="10">
        <v>16.754277057771265</v>
      </c>
      <c r="C359" s="10">
        <v>26.765370126739437</v>
      </c>
      <c r="D359" s="259">
        <v>8.0885097158697956</v>
      </c>
      <c r="E359" s="411"/>
      <c r="F359" s="411"/>
      <c r="G359" s="411"/>
      <c r="H359" s="341"/>
      <c r="I359" s="11"/>
      <c r="J359" s="341"/>
      <c r="K359" s="12"/>
      <c r="L359" s="483"/>
      <c r="M359" s="483"/>
      <c r="N359" s="483"/>
      <c r="O359" s="343"/>
      <c r="P359" s="343"/>
      <c r="Q359" s="89"/>
    </row>
    <row r="360" spans="1:17">
      <c r="A360" s="8" t="s">
        <v>32</v>
      </c>
      <c r="B360" s="10">
        <v>20.088789287213078</v>
      </c>
      <c r="C360" s="10">
        <v>26.994411477403094</v>
      </c>
      <c r="D360" s="259">
        <v>14.194377084394555</v>
      </c>
      <c r="E360" s="411"/>
      <c r="F360" s="411"/>
      <c r="G360" s="411"/>
      <c r="H360" s="341"/>
      <c r="I360" s="11"/>
      <c r="J360" s="341"/>
      <c r="K360" s="12"/>
      <c r="L360" s="483"/>
      <c r="M360" s="483"/>
      <c r="N360" s="483"/>
      <c r="O360" s="343"/>
      <c r="P360" s="343"/>
      <c r="Q360" s="89"/>
    </row>
    <row r="361" spans="1:17">
      <c r="A361" s="8" t="s">
        <v>26</v>
      </c>
      <c r="B361" s="10">
        <v>15.112021686265576</v>
      </c>
      <c r="C361" s="10">
        <v>22.806227178537906</v>
      </c>
      <c r="D361" s="259">
        <v>8.5830234999633337</v>
      </c>
      <c r="E361" s="411"/>
      <c r="F361" s="411"/>
      <c r="G361" s="411"/>
      <c r="H361" s="341"/>
      <c r="I361" s="11"/>
      <c r="J361" s="341"/>
      <c r="K361" s="12"/>
      <c r="L361" s="483"/>
      <c r="M361" s="483"/>
      <c r="N361" s="483"/>
      <c r="O361" s="343"/>
      <c r="P361" s="343"/>
      <c r="Q361" s="89"/>
    </row>
    <row r="362" spans="1:17">
      <c r="A362" s="8" t="s">
        <v>33</v>
      </c>
      <c r="B362" s="10">
        <v>5.7085379637737432</v>
      </c>
      <c r="C362" s="10">
        <v>8.5379104985828818</v>
      </c>
      <c r="D362" s="259">
        <v>3.2840732028106432</v>
      </c>
      <c r="E362" s="411"/>
      <c r="F362" s="411"/>
      <c r="G362" s="411"/>
      <c r="H362" s="341"/>
      <c r="I362" s="11"/>
      <c r="J362" s="341"/>
      <c r="K362" s="12"/>
      <c r="L362" s="483"/>
      <c r="M362" s="483"/>
      <c r="N362" s="483"/>
      <c r="O362" s="343"/>
      <c r="P362" s="343"/>
      <c r="Q362" s="89"/>
    </row>
    <row r="363" spans="1:17">
      <c r="A363" s="8" t="s">
        <v>35</v>
      </c>
      <c r="B363" s="10">
        <v>3.7031500911966289</v>
      </c>
      <c r="C363" s="10">
        <v>6.4621243386889127</v>
      </c>
      <c r="D363" s="259">
        <v>1.3979557498567905</v>
      </c>
      <c r="E363" s="411"/>
      <c r="F363" s="411"/>
      <c r="G363" s="411"/>
      <c r="H363" s="341"/>
      <c r="I363" s="11"/>
      <c r="J363" s="341"/>
      <c r="K363" s="12"/>
      <c r="L363" s="483"/>
      <c r="M363" s="483"/>
      <c r="N363" s="483"/>
      <c r="O363" s="343"/>
      <c r="P363" s="343"/>
      <c r="Q363" s="89"/>
    </row>
    <row r="364" spans="1:17">
      <c r="A364" s="8" t="s">
        <v>27</v>
      </c>
      <c r="B364" s="10">
        <v>17.164977923084372</v>
      </c>
      <c r="C364" s="10">
        <v>26.933481391176404</v>
      </c>
      <c r="D364" s="259">
        <v>8.5420301251042936</v>
      </c>
      <c r="E364" s="411"/>
      <c r="F364" s="411"/>
      <c r="G364" s="411"/>
      <c r="H364" s="341"/>
      <c r="I364" s="11"/>
      <c r="J364" s="341"/>
      <c r="K364" s="12"/>
      <c r="L364" s="483"/>
      <c r="M364" s="483"/>
      <c r="N364" s="483"/>
      <c r="O364" s="343"/>
      <c r="P364" s="343"/>
      <c r="Q364" s="89"/>
    </row>
    <row r="365" spans="1:17">
      <c r="A365" s="8" t="s">
        <v>377</v>
      </c>
      <c r="B365" s="10">
        <v>9.3273049444249292</v>
      </c>
      <c r="C365" s="10">
        <v>15.769363344260206</v>
      </c>
      <c r="D365" s="259">
        <v>3.6115602820940511</v>
      </c>
      <c r="E365" s="411"/>
      <c r="F365" s="411"/>
      <c r="G365" s="411"/>
      <c r="H365" s="341"/>
      <c r="I365" s="11"/>
      <c r="J365" s="341"/>
      <c r="K365" s="12"/>
      <c r="L365" s="483"/>
      <c r="M365" s="483"/>
      <c r="N365" s="483"/>
      <c r="O365" s="343"/>
      <c r="P365" s="343"/>
      <c r="Q365" s="89"/>
    </row>
    <row r="366" spans="1:17">
      <c r="A366" s="8" t="s">
        <v>378</v>
      </c>
      <c r="B366" s="10">
        <v>24.78901102632728</v>
      </c>
      <c r="C366" s="10">
        <v>39.889796285684881</v>
      </c>
      <c r="D366" s="259">
        <v>10.808918462149995</v>
      </c>
      <c r="E366" s="411"/>
      <c r="F366" s="411"/>
      <c r="G366" s="411"/>
      <c r="H366" s="341"/>
      <c r="I366" s="11"/>
      <c r="J366" s="341"/>
      <c r="K366" s="12"/>
      <c r="L366" s="483"/>
      <c r="M366" s="483"/>
      <c r="N366" s="483"/>
      <c r="O366" s="343"/>
      <c r="P366" s="343"/>
      <c r="Q366" s="89"/>
    </row>
    <row r="367" spans="1:17">
      <c r="A367" s="8" t="s">
        <v>34</v>
      </c>
      <c r="B367" s="10">
        <v>7.9619094843881495</v>
      </c>
      <c r="C367" s="10">
        <v>12.945922208158889</v>
      </c>
      <c r="D367" s="259">
        <v>3.2583734608994184</v>
      </c>
      <c r="E367" s="411"/>
      <c r="F367" s="411"/>
      <c r="G367" s="411"/>
      <c r="H367" s="341"/>
      <c r="I367" s="11"/>
      <c r="J367" s="341"/>
      <c r="K367" s="12"/>
      <c r="L367" s="483"/>
      <c r="M367" s="483"/>
      <c r="N367" s="483"/>
      <c r="O367" s="343"/>
      <c r="P367" s="343"/>
      <c r="Q367" s="89"/>
    </row>
    <row r="368" spans="1:17">
      <c r="A368" s="8" t="s">
        <v>379</v>
      </c>
      <c r="B368" s="10">
        <v>7.519812140316426</v>
      </c>
      <c r="C368" s="10">
        <v>12.166303353659698</v>
      </c>
      <c r="D368" s="259">
        <v>3.1178370871648293</v>
      </c>
      <c r="E368" s="411"/>
      <c r="F368" s="411"/>
      <c r="G368" s="411"/>
      <c r="H368" s="341"/>
      <c r="I368" s="11"/>
      <c r="J368" s="341"/>
      <c r="K368" s="12"/>
      <c r="L368" s="483"/>
      <c r="M368" s="483"/>
      <c r="N368" s="483"/>
      <c r="O368" s="343"/>
      <c r="P368" s="343"/>
      <c r="Q368" s="89"/>
    </row>
    <row r="369" spans="1:32">
      <c r="A369" s="8" t="s">
        <v>380</v>
      </c>
      <c r="B369" s="10">
        <v>6.8697770776853693</v>
      </c>
      <c r="C369" s="10">
        <v>10.994107032977881</v>
      </c>
      <c r="D369" s="259">
        <v>3.1023585137134</v>
      </c>
      <c r="E369" s="411"/>
      <c r="F369" s="411"/>
      <c r="G369" s="411"/>
      <c r="H369" s="341"/>
      <c r="I369" s="11"/>
      <c r="J369" s="341"/>
      <c r="K369" s="12"/>
      <c r="L369" s="483"/>
      <c r="M369" s="483"/>
      <c r="N369" s="483"/>
      <c r="O369" s="343"/>
      <c r="P369" s="343"/>
      <c r="Q369" s="89"/>
    </row>
    <row r="370" spans="1:32">
      <c r="B370" s="10"/>
      <c r="E370" s="70"/>
      <c r="H370" s="12"/>
      <c r="I370" s="12"/>
      <c r="J370" s="12"/>
      <c r="K370" s="12"/>
      <c r="L370" s="12"/>
      <c r="M370" s="12"/>
      <c r="N370" s="14"/>
      <c r="O370" s="14"/>
      <c r="P370" s="12"/>
      <c r="Q370" s="12"/>
    </row>
    <row r="371" spans="1:32">
      <c r="A371" s="452" t="s">
        <v>391</v>
      </c>
      <c r="B371" s="90"/>
      <c r="C371" s="90"/>
      <c r="D371" s="90"/>
      <c r="E371" s="90"/>
      <c r="F371" s="90"/>
      <c r="G371" s="90"/>
      <c r="H371" s="90"/>
      <c r="I371" s="90"/>
      <c r="J371" s="90"/>
      <c r="K371" s="90"/>
      <c r="L371" s="90"/>
      <c r="M371" s="90"/>
      <c r="N371" s="90"/>
      <c r="O371" s="90"/>
      <c r="P371" s="90"/>
      <c r="Q371" s="90"/>
      <c r="R371" s="90"/>
      <c r="S371" s="90"/>
      <c r="T371" s="90"/>
      <c r="U371" s="90"/>
    </row>
    <row r="372" spans="1:32">
      <c r="A372" s="70"/>
      <c r="B372" s="90"/>
      <c r="C372" s="90"/>
      <c r="D372" s="90"/>
      <c r="E372" s="90"/>
      <c r="F372" s="90"/>
      <c r="G372" s="90"/>
      <c r="H372" s="90"/>
      <c r="I372" s="90"/>
      <c r="J372" s="90"/>
      <c r="K372" s="90"/>
      <c r="L372" s="90"/>
      <c r="M372" s="90"/>
      <c r="N372" s="90"/>
      <c r="O372" s="90"/>
      <c r="P372" s="90"/>
      <c r="Q372" s="90"/>
      <c r="R372" s="90"/>
      <c r="S372" s="90"/>
      <c r="T372" s="90"/>
      <c r="U372" s="90"/>
    </row>
    <row r="373" spans="1:32">
      <c r="A373" s="70" t="s">
        <v>673</v>
      </c>
      <c r="B373" s="90"/>
      <c r="C373" s="90"/>
      <c r="D373" s="90"/>
      <c r="E373" s="90"/>
      <c r="F373" s="90"/>
      <c r="G373" s="90"/>
      <c r="H373" s="90"/>
      <c r="I373" s="90"/>
      <c r="J373" s="90"/>
      <c r="K373" s="90"/>
      <c r="L373" s="90"/>
      <c r="M373" s="90"/>
      <c r="N373" s="90"/>
      <c r="O373" s="90"/>
      <c r="P373" s="90"/>
      <c r="Q373" s="90"/>
      <c r="R373" s="90"/>
      <c r="S373" s="90"/>
      <c r="T373" s="90"/>
      <c r="U373" s="90"/>
    </row>
    <row r="374" spans="1:32">
      <c r="A374" s="70"/>
      <c r="B374" s="90"/>
      <c r="D374" s="90" t="s">
        <v>16</v>
      </c>
      <c r="E374" s="90"/>
      <c r="F374" s="90"/>
      <c r="G374" s="90">
        <f>A2</f>
        <v>0</v>
      </c>
      <c r="H374" s="90"/>
      <c r="I374" s="90"/>
      <c r="J374" s="90">
        <f>C5</f>
        <v>0</v>
      </c>
      <c r="K374" s="90"/>
      <c r="L374" s="90"/>
      <c r="M374" s="90" t="str">
        <f>IF(B5=2,D5,"")</f>
        <v/>
      </c>
      <c r="N374" s="90"/>
      <c r="O374" s="90"/>
      <c r="P374" s="90"/>
      <c r="R374" s="90"/>
      <c r="U374" s="90" t="s">
        <v>16</v>
      </c>
      <c r="V374" s="90"/>
      <c r="W374" s="90"/>
      <c r="X374" s="90">
        <f>A2</f>
        <v>0</v>
      </c>
      <c r="Y374" s="90"/>
      <c r="Z374" s="90"/>
      <c r="AA374" s="90">
        <f>C5</f>
        <v>0</v>
      </c>
      <c r="AB374" s="90"/>
      <c r="AC374" s="90"/>
      <c r="AD374" s="90" t="str">
        <f>IF(B5=2,D5,"")</f>
        <v/>
      </c>
      <c r="AE374" s="90"/>
      <c r="AF374" s="90"/>
    </row>
    <row r="375" spans="1:32">
      <c r="A375" s="70"/>
      <c r="B375" s="90" t="s">
        <v>343</v>
      </c>
      <c r="C375" s="8" t="s">
        <v>342</v>
      </c>
      <c r="D375" s="90" t="s">
        <v>13</v>
      </c>
      <c r="E375" s="90" t="s">
        <v>14</v>
      </c>
      <c r="F375" s="90" t="s">
        <v>15</v>
      </c>
      <c r="G375" s="90" t="s">
        <v>13</v>
      </c>
      <c r="H375" s="90" t="s">
        <v>14</v>
      </c>
      <c r="I375" s="90" t="s">
        <v>15</v>
      </c>
      <c r="J375" s="90" t="s">
        <v>13</v>
      </c>
      <c r="K375" s="90" t="s">
        <v>14</v>
      </c>
      <c r="L375" s="90" t="s">
        <v>15</v>
      </c>
      <c r="M375" s="90" t="s">
        <v>13</v>
      </c>
      <c r="N375" s="90" t="s">
        <v>14</v>
      </c>
      <c r="O375" s="90" t="s">
        <v>15</v>
      </c>
      <c r="P375" s="90" t="s">
        <v>13</v>
      </c>
      <c r="R375" s="90"/>
      <c r="U375" s="90" t="s">
        <v>13</v>
      </c>
      <c r="V375" s="90" t="s">
        <v>14</v>
      </c>
      <c r="W375" s="90" t="s">
        <v>15</v>
      </c>
      <c r="X375" s="90" t="s">
        <v>13</v>
      </c>
      <c r="Y375" s="90" t="s">
        <v>14</v>
      </c>
      <c r="Z375" s="90" t="s">
        <v>15</v>
      </c>
      <c r="AA375" s="90" t="s">
        <v>13</v>
      </c>
      <c r="AB375" s="90" t="s">
        <v>14</v>
      </c>
      <c r="AC375" s="90" t="s">
        <v>15</v>
      </c>
      <c r="AD375" s="90" t="s">
        <v>13</v>
      </c>
      <c r="AE375" s="90" t="s">
        <v>14</v>
      </c>
      <c r="AF375" s="90" t="s">
        <v>15</v>
      </c>
    </row>
    <row r="376" spans="1:32">
      <c r="A376" s="70">
        <f>RANK(Q376,$Q$376:$Q$397,0)</f>
        <v>1</v>
      </c>
      <c r="B376" s="90" t="s">
        <v>416</v>
      </c>
      <c r="C376" s="8" t="s">
        <v>392</v>
      </c>
      <c r="D376" s="90">
        <v>0.11052866387367853</v>
      </c>
      <c r="E376" s="90">
        <v>0.13038845304883845</v>
      </c>
      <c r="F376" s="90">
        <v>9.2774839713665527E-2</v>
      </c>
      <c r="G376" s="411"/>
      <c r="H376" s="411"/>
      <c r="I376" s="411"/>
      <c r="J376" s="11"/>
      <c r="K376" s="11"/>
      <c r="L376" s="11"/>
      <c r="M376" s="11"/>
      <c r="N376" s="11"/>
      <c r="O376" s="11"/>
      <c r="P376" s="528"/>
      <c r="Q376" s="527">
        <f>(J376+M376)/2</f>
        <v>0</v>
      </c>
      <c r="R376" s="137">
        <v>1</v>
      </c>
      <c r="S376" s="90" t="str">
        <f>VLOOKUP(R376,$A$376:$O$397,2,FALSE)</f>
        <v>Neoplasia maligna do estômago (D74)</v>
      </c>
      <c r="T376" s="90" t="str">
        <f>VLOOKUP(R376,$A$376:$O$397,3,FALSE)</f>
        <v>D74</v>
      </c>
      <c r="U376" s="90">
        <f>VLOOKUP(R376,$A$376:$O$397,4,FALSE)</f>
        <v>0.11052866387367853</v>
      </c>
      <c r="V376" s="90">
        <f>VLOOKUP(R376,$A$376:$O$397,5,FALSE)</f>
        <v>0.13038845304883845</v>
      </c>
      <c r="W376" s="10">
        <f>VLOOKUP(R376,$A$376:$O$397,6,FALSE)</f>
        <v>9.2774839713665527E-2</v>
      </c>
      <c r="X376" s="10">
        <f>VLOOKUP(R376,$A$376:$O$397,7,FALSE)</f>
        <v>0</v>
      </c>
      <c r="Y376" s="10">
        <f>VLOOKUP(R376,$A$376:$O$397,8,FALSE)</f>
        <v>0</v>
      </c>
      <c r="Z376" s="10">
        <f>VLOOKUP(R376,$A$376:$O$397,9,FALSE)</f>
        <v>0</v>
      </c>
      <c r="AA376" s="10">
        <f>VLOOKUP(R376,$A$376:$O$397,10,FALSE)</f>
        <v>0</v>
      </c>
      <c r="AB376" s="10">
        <f>VLOOKUP(R376,$A$376:$O$397,11,FALSE)</f>
        <v>0</v>
      </c>
      <c r="AC376" s="10">
        <f>VLOOKUP(R376,$A$376:$O$397,12,FALSE)</f>
        <v>0</v>
      </c>
      <c r="AD376" s="10">
        <f>VLOOKUP(R376,$A$376:$O$397,13,FALSE)</f>
        <v>0</v>
      </c>
      <c r="AE376" s="10">
        <f>VLOOKUP(R376,$A$376:$O$397,14,FALSE)</f>
        <v>0</v>
      </c>
      <c r="AF376" s="10">
        <f>VLOOKUP(R376,$A$376:$O$397,15,FALSE)</f>
        <v>0</v>
      </c>
    </row>
    <row r="377" spans="1:32">
      <c r="A377" s="70">
        <f t="shared" ref="A377:A397" si="33">RANK(Q377,$Q$376:$Q$397,0)</f>
        <v>1</v>
      </c>
      <c r="B377" s="90" t="s">
        <v>438</v>
      </c>
      <c r="C377" s="8" t="s">
        <v>393</v>
      </c>
      <c r="D377" s="90">
        <v>0.37987125290199664</v>
      </c>
      <c r="E377" s="90">
        <v>0.44734598995827812</v>
      </c>
      <c r="F377" s="90">
        <v>0.31955164898401156</v>
      </c>
      <c r="G377" s="411"/>
      <c r="H377" s="411"/>
      <c r="I377" s="411"/>
      <c r="J377" s="11"/>
      <c r="K377" s="11"/>
      <c r="L377" s="11"/>
      <c r="M377" s="11"/>
      <c r="N377" s="11"/>
      <c r="O377" s="11"/>
      <c r="P377" s="528"/>
      <c r="Q377" s="527">
        <f t="shared" ref="Q377:Q397" si="34">(J377+M377)/2</f>
        <v>0</v>
      </c>
      <c r="R377" s="137">
        <v>2</v>
      </c>
      <c r="S377" s="90" t="e">
        <f t="shared" ref="S377:S397" si="35">VLOOKUP(R377,$A$376:$O$397,2,FALSE)</f>
        <v>#N/A</v>
      </c>
      <c r="T377" s="90" t="e">
        <f t="shared" ref="T377:T397" si="36">VLOOKUP(R377,$A$376:$O$397,3,FALSE)</f>
        <v>#N/A</v>
      </c>
      <c r="U377" s="90" t="e">
        <f t="shared" ref="U377:U397" si="37">VLOOKUP(R377,$A$376:$O$397,4,FALSE)</f>
        <v>#N/A</v>
      </c>
      <c r="V377" s="90" t="e">
        <f t="shared" ref="V377:V397" si="38">VLOOKUP(R377,$A$376:$O$397,5,FALSE)</f>
        <v>#N/A</v>
      </c>
      <c r="W377" s="10" t="e">
        <f t="shared" ref="W377:W397" si="39">VLOOKUP(R377,$A$376:$O$397,6,FALSE)</f>
        <v>#N/A</v>
      </c>
      <c r="X377" s="10" t="e">
        <f t="shared" ref="X377:X397" si="40">VLOOKUP(R377,$A$376:$O$397,7,FALSE)</f>
        <v>#N/A</v>
      </c>
      <c r="Y377" s="10" t="e">
        <f t="shared" ref="Y377:Y397" si="41">VLOOKUP(R377,$A$376:$O$397,8,FALSE)</f>
        <v>#N/A</v>
      </c>
      <c r="Z377" s="10" t="e">
        <f t="shared" ref="Z377:Z397" si="42">VLOOKUP(R377,$A$376:$O$397,9,FALSE)</f>
        <v>#N/A</v>
      </c>
      <c r="AA377" s="10" t="e">
        <f t="shared" ref="AA377:AA397" si="43">VLOOKUP(R377,$A$376:$O$397,10,FALSE)</f>
        <v>#N/A</v>
      </c>
      <c r="AB377" s="10" t="e">
        <f t="shared" ref="AB377:AB397" si="44">VLOOKUP(R377,$A$376:$O$397,11,FALSE)</f>
        <v>#N/A</v>
      </c>
      <c r="AC377" s="10" t="e">
        <f t="shared" ref="AC377:AC397" si="45">VLOOKUP(R377,$A$376:$O$397,12,FALSE)</f>
        <v>#N/A</v>
      </c>
      <c r="AD377" s="10" t="e">
        <f t="shared" ref="AD377:AD397" si="46">VLOOKUP(R377,$A$376:$O$397,13,FALSE)</f>
        <v>#N/A</v>
      </c>
      <c r="AE377" s="10" t="e">
        <f t="shared" ref="AE377:AE397" si="47">VLOOKUP(R377,$A$376:$O$397,14,FALSE)</f>
        <v>#N/A</v>
      </c>
      <c r="AF377" s="10" t="e">
        <f t="shared" ref="AF377:AF397" si="48">VLOOKUP(R377,$A$376:$O$397,15,FALSE)</f>
        <v>#N/A</v>
      </c>
    </row>
    <row r="378" spans="1:32">
      <c r="A378" s="70">
        <f t="shared" si="33"/>
        <v>1</v>
      </c>
      <c r="B378" s="90" t="s">
        <v>417</v>
      </c>
      <c r="C378" s="8" t="s">
        <v>394</v>
      </c>
      <c r="D378" s="90">
        <v>4.4293841207024487</v>
      </c>
      <c r="E378" s="90">
        <v>4.4740866938996771</v>
      </c>
      <c r="F378" s="90">
        <v>4.3826635911132694</v>
      </c>
      <c r="G378" s="411"/>
      <c r="H378" s="411"/>
      <c r="I378" s="411"/>
      <c r="J378" s="11"/>
      <c r="K378" s="11"/>
      <c r="L378" s="11"/>
      <c r="M378" s="11"/>
      <c r="N378" s="11"/>
      <c r="O378" s="11"/>
      <c r="P378" s="528"/>
      <c r="Q378" s="527">
        <f t="shared" si="34"/>
        <v>0</v>
      </c>
      <c r="R378" s="137">
        <v>3</v>
      </c>
      <c r="S378" s="90" t="e">
        <f t="shared" si="35"/>
        <v>#N/A</v>
      </c>
      <c r="T378" s="90" t="e">
        <f t="shared" si="36"/>
        <v>#N/A</v>
      </c>
      <c r="U378" s="90" t="e">
        <f t="shared" si="37"/>
        <v>#N/A</v>
      </c>
      <c r="V378" s="90" t="e">
        <f t="shared" si="38"/>
        <v>#N/A</v>
      </c>
      <c r="W378" s="10" t="e">
        <f t="shared" si="39"/>
        <v>#N/A</v>
      </c>
      <c r="X378" s="10" t="e">
        <f t="shared" si="40"/>
        <v>#N/A</v>
      </c>
      <c r="Y378" s="10" t="e">
        <f t="shared" si="41"/>
        <v>#N/A</v>
      </c>
      <c r="Z378" s="10" t="e">
        <f t="shared" si="42"/>
        <v>#N/A</v>
      </c>
      <c r="AA378" s="10" t="e">
        <f t="shared" si="43"/>
        <v>#N/A</v>
      </c>
      <c r="AB378" s="10" t="e">
        <f t="shared" si="44"/>
        <v>#N/A</v>
      </c>
      <c r="AC378" s="10" t="e">
        <f t="shared" si="45"/>
        <v>#N/A</v>
      </c>
      <c r="AD378" s="10" t="e">
        <f t="shared" si="46"/>
        <v>#N/A</v>
      </c>
      <c r="AE378" s="10" t="e">
        <f t="shared" si="47"/>
        <v>#N/A</v>
      </c>
      <c r="AF378" s="10" t="e">
        <f t="shared" si="48"/>
        <v>#N/A</v>
      </c>
    </row>
    <row r="379" spans="1:32">
      <c r="A379" s="70">
        <f t="shared" si="33"/>
        <v>1</v>
      </c>
      <c r="B379" s="90" t="s">
        <v>418</v>
      </c>
      <c r="C379" s="8" t="s">
        <v>395</v>
      </c>
      <c r="D379" s="90">
        <v>1.4086455192569411</v>
      </c>
      <c r="E379" s="90">
        <v>1.6829494460754435</v>
      </c>
      <c r="F379" s="90">
        <v>1.1634292362347654</v>
      </c>
      <c r="G379" s="411"/>
      <c r="H379" s="411"/>
      <c r="I379" s="411"/>
      <c r="J379" s="11"/>
      <c r="K379" s="11"/>
      <c r="L379" s="11"/>
      <c r="M379" s="11"/>
      <c r="N379" s="11"/>
      <c r="O379" s="11"/>
      <c r="P379" s="528"/>
      <c r="Q379" s="527">
        <f t="shared" si="34"/>
        <v>0</v>
      </c>
      <c r="R379" s="137">
        <v>4</v>
      </c>
      <c r="S379" s="90" t="e">
        <f t="shared" si="35"/>
        <v>#N/A</v>
      </c>
      <c r="T379" s="90" t="e">
        <f t="shared" si="36"/>
        <v>#N/A</v>
      </c>
      <c r="U379" s="90" t="e">
        <f t="shared" si="37"/>
        <v>#N/A</v>
      </c>
      <c r="V379" s="90" t="e">
        <f t="shared" si="38"/>
        <v>#N/A</v>
      </c>
      <c r="W379" s="10" t="e">
        <f t="shared" si="39"/>
        <v>#N/A</v>
      </c>
      <c r="X379" s="10" t="e">
        <f t="shared" si="40"/>
        <v>#N/A</v>
      </c>
      <c r="Y379" s="10" t="e">
        <f t="shared" si="41"/>
        <v>#N/A</v>
      </c>
      <c r="Z379" s="10" t="e">
        <f t="shared" si="42"/>
        <v>#N/A</v>
      </c>
      <c r="AA379" s="10" t="e">
        <f t="shared" si="43"/>
        <v>#N/A</v>
      </c>
      <c r="AB379" s="10" t="e">
        <f t="shared" si="44"/>
        <v>#N/A</v>
      </c>
      <c r="AC379" s="10" t="e">
        <f t="shared" si="45"/>
        <v>#N/A</v>
      </c>
      <c r="AD379" s="10" t="e">
        <f t="shared" si="46"/>
        <v>#N/A</v>
      </c>
      <c r="AE379" s="10" t="e">
        <f t="shared" si="47"/>
        <v>#N/A</v>
      </c>
      <c r="AF379" s="10" t="e">
        <f t="shared" si="48"/>
        <v>#N/A</v>
      </c>
    </row>
    <row r="380" spans="1:32">
      <c r="A380" s="70">
        <f t="shared" si="33"/>
        <v>1</v>
      </c>
      <c r="B380" s="90" t="s">
        <v>419</v>
      </c>
      <c r="C380" s="90" t="s">
        <v>396</v>
      </c>
      <c r="D380" s="90">
        <v>0.54802945915747803</v>
      </c>
      <c r="E380" s="90">
        <v>0.85326648181249831</v>
      </c>
      <c r="F380" s="90">
        <v>0.2751602771360887</v>
      </c>
      <c r="G380" s="411"/>
      <c r="H380" s="411"/>
      <c r="I380" s="411"/>
      <c r="J380" s="11"/>
      <c r="K380" s="11"/>
      <c r="L380" s="11"/>
      <c r="M380" s="11"/>
      <c r="N380" s="11"/>
      <c r="O380" s="11"/>
      <c r="P380" s="528"/>
      <c r="Q380" s="527">
        <f t="shared" si="34"/>
        <v>0</v>
      </c>
      <c r="R380" s="137">
        <v>5</v>
      </c>
      <c r="S380" s="90" t="e">
        <f t="shared" si="35"/>
        <v>#N/A</v>
      </c>
      <c r="T380" s="90" t="e">
        <f t="shared" si="36"/>
        <v>#N/A</v>
      </c>
      <c r="U380" s="90" t="e">
        <f t="shared" si="37"/>
        <v>#N/A</v>
      </c>
      <c r="V380" s="90" t="e">
        <f t="shared" si="38"/>
        <v>#N/A</v>
      </c>
      <c r="W380" s="10" t="e">
        <f t="shared" si="39"/>
        <v>#N/A</v>
      </c>
      <c r="X380" s="10" t="e">
        <f t="shared" si="40"/>
        <v>#N/A</v>
      </c>
      <c r="Y380" s="10" t="e">
        <f t="shared" si="41"/>
        <v>#N/A</v>
      </c>
      <c r="Z380" s="10" t="e">
        <f t="shared" si="42"/>
        <v>#N/A</v>
      </c>
      <c r="AA380" s="10" t="e">
        <f t="shared" si="43"/>
        <v>#N/A</v>
      </c>
      <c r="AB380" s="10" t="e">
        <f t="shared" si="44"/>
        <v>#N/A</v>
      </c>
      <c r="AC380" s="10" t="e">
        <f t="shared" si="45"/>
        <v>#N/A</v>
      </c>
      <c r="AD380" s="10" t="e">
        <f t="shared" si="46"/>
        <v>#N/A</v>
      </c>
      <c r="AE380" s="10" t="e">
        <f t="shared" si="47"/>
        <v>#N/A</v>
      </c>
      <c r="AF380" s="10" t="e">
        <f t="shared" si="48"/>
        <v>#N/A</v>
      </c>
    </row>
    <row r="381" spans="1:32">
      <c r="A381" s="70">
        <f t="shared" si="33"/>
        <v>1</v>
      </c>
      <c r="B381" s="90" t="s">
        <v>420</v>
      </c>
      <c r="C381" s="90" t="s">
        <v>397</v>
      </c>
      <c r="D381" s="90">
        <v>19.604573724483775</v>
      </c>
      <c r="E381" s="90">
        <v>17.69490254409768</v>
      </c>
      <c r="F381" s="90">
        <v>21.311740202485733</v>
      </c>
      <c r="G381" s="411"/>
      <c r="H381" s="411"/>
      <c r="I381" s="411"/>
      <c r="J381" s="11"/>
      <c r="K381" s="11"/>
      <c r="L381" s="11"/>
      <c r="M381" s="11"/>
      <c r="N381" s="11"/>
      <c r="O381" s="11"/>
      <c r="P381" s="528"/>
      <c r="Q381" s="527">
        <f t="shared" si="34"/>
        <v>0</v>
      </c>
      <c r="R381" s="137">
        <v>6</v>
      </c>
      <c r="S381" s="90" t="e">
        <f t="shared" si="35"/>
        <v>#N/A</v>
      </c>
      <c r="T381" s="90" t="e">
        <f t="shared" si="36"/>
        <v>#N/A</v>
      </c>
      <c r="U381" s="90" t="e">
        <f t="shared" si="37"/>
        <v>#N/A</v>
      </c>
      <c r="V381" s="90" t="e">
        <f t="shared" si="38"/>
        <v>#N/A</v>
      </c>
      <c r="W381" s="10" t="e">
        <f t="shared" si="39"/>
        <v>#N/A</v>
      </c>
      <c r="X381" s="10" t="e">
        <f t="shared" si="40"/>
        <v>#N/A</v>
      </c>
      <c r="Y381" s="10" t="e">
        <f t="shared" si="41"/>
        <v>#N/A</v>
      </c>
      <c r="Z381" s="10" t="e">
        <f t="shared" si="42"/>
        <v>#N/A</v>
      </c>
      <c r="AA381" s="10" t="e">
        <f t="shared" si="43"/>
        <v>#N/A</v>
      </c>
      <c r="AB381" s="10" t="e">
        <f t="shared" si="44"/>
        <v>#N/A</v>
      </c>
      <c r="AC381" s="10" t="e">
        <f t="shared" si="45"/>
        <v>#N/A</v>
      </c>
      <c r="AD381" s="10" t="e">
        <f t="shared" si="46"/>
        <v>#N/A</v>
      </c>
      <c r="AE381" s="10" t="e">
        <f t="shared" si="47"/>
        <v>#N/A</v>
      </c>
      <c r="AF381" s="10" t="e">
        <f t="shared" si="48"/>
        <v>#N/A</v>
      </c>
    </row>
    <row r="382" spans="1:32">
      <c r="A382" s="70">
        <f t="shared" si="33"/>
        <v>1</v>
      </c>
      <c r="B382" s="90" t="s">
        <v>421</v>
      </c>
      <c r="C382" s="90" t="s">
        <v>398</v>
      </c>
      <c r="D382" s="90">
        <v>1.1194584746267313</v>
      </c>
      <c r="E382" s="90">
        <v>1.2101266718882413</v>
      </c>
      <c r="F382" s="90">
        <v>1.038404883529219</v>
      </c>
      <c r="G382" s="411"/>
      <c r="H382" s="411"/>
      <c r="I382" s="411"/>
      <c r="J382" s="11"/>
      <c r="K382" s="11"/>
      <c r="L382" s="11"/>
      <c r="M382" s="11"/>
      <c r="N382" s="11"/>
      <c r="O382" s="11"/>
      <c r="P382" s="528"/>
      <c r="Q382" s="527">
        <f t="shared" si="34"/>
        <v>0</v>
      </c>
      <c r="R382" s="137">
        <v>7</v>
      </c>
      <c r="S382" s="90" t="e">
        <f t="shared" si="35"/>
        <v>#N/A</v>
      </c>
      <c r="T382" s="90" t="e">
        <f t="shared" si="36"/>
        <v>#N/A</v>
      </c>
      <c r="U382" s="90" t="e">
        <f t="shared" si="37"/>
        <v>#N/A</v>
      </c>
      <c r="V382" s="90" t="e">
        <f t="shared" si="38"/>
        <v>#N/A</v>
      </c>
      <c r="W382" s="10" t="e">
        <f t="shared" si="39"/>
        <v>#N/A</v>
      </c>
      <c r="X382" s="10" t="e">
        <f t="shared" si="40"/>
        <v>#N/A</v>
      </c>
      <c r="Y382" s="10" t="e">
        <f t="shared" si="41"/>
        <v>#N/A</v>
      </c>
      <c r="Z382" s="10" t="e">
        <f t="shared" si="42"/>
        <v>#N/A</v>
      </c>
      <c r="AA382" s="10" t="e">
        <f t="shared" si="43"/>
        <v>#N/A</v>
      </c>
      <c r="AB382" s="10" t="e">
        <f t="shared" si="44"/>
        <v>#N/A</v>
      </c>
      <c r="AC382" s="10" t="e">
        <f t="shared" si="45"/>
        <v>#N/A</v>
      </c>
      <c r="AD382" s="10" t="e">
        <f t="shared" si="46"/>
        <v>#N/A</v>
      </c>
      <c r="AE382" s="10" t="e">
        <f t="shared" si="47"/>
        <v>#N/A</v>
      </c>
      <c r="AF382" s="10" t="e">
        <f t="shared" si="48"/>
        <v>#N/A</v>
      </c>
    </row>
    <row r="383" spans="1:32">
      <c r="A383" s="70">
        <f t="shared" si="33"/>
        <v>1</v>
      </c>
      <c r="B383" s="90" t="s">
        <v>422</v>
      </c>
      <c r="C383" s="90" t="s">
        <v>399</v>
      </c>
      <c r="D383" s="90">
        <v>1.5423794716440409</v>
      </c>
      <c r="E383" s="90">
        <v>1.139088013440547</v>
      </c>
      <c r="F383" s="90">
        <v>1.9029052340794015</v>
      </c>
      <c r="G383" s="411"/>
      <c r="H383" s="411"/>
      <c r="I383" s="411"/>
      <c r="J383" s="11"/>
      <c r="K383" s="11"/>
      <c r="L383" s="11"/>
      <c r="M383" s="11"/>
      <c r="N383" s="11"/>
      <c r="O383" s="11"/>
      <c r="P383" s="528"/>
      <c r="Q383" s="527">
        <f t="shared" si="34"/>
        <v>0</v>
      </c>
      <c r="R383" s="137">
        <v>8</v>
      </c>
      <c r="S383" s="90" t="e">
        <f t="shared" si="35"/>
        <v>#N/A</v>
      </c>
      <c r="T383" s="90" t="e">
        <f t="shared" si="36"/>
        <v>#N/A</v>
      </c>
      <c r="U383" s="90" t="e">
        <f t="shared" si="37"/>
        <v>#N/A</v>
      </c>
      <c r="V383" s="90" t="e">
        <f t="shared" si="38"/>
        <v>#N/A</v>
      </c>
      <c r="W383" s="10" t="e">
        <f t="shared" si="39"/>
        <v>#N/A</v>
      </c>
      <c r="X383" s="10" t="e">
        <f t="shared" si="40"/>
        <v>#N/A</v>
      </c>
      <c r="Y383" s="10" t="e">
        <f t="shared" si="41"/>
        <v>#N/A</v>
      </c>
      <c r="Z383" s="10" t="e">
        <f t="shared" si="42"/>
        <v>#N/A</v>
      </c>
      <c r="AA383" s="10" t="e">
        <f t="shared" si="43"/>
        <v>#N/A</v>
      </c>
      <c r="AB383" s="10" t="e">
        <f t="shared" si="44"/>
        <v>#N/A</v>
      </c>
      <c r="AC383" s="10" t="e">
        <f t="shared" si="45"/>
        <v>#N/A</v>
      </c>
      <c r="AD383" s="10" t="e">
        <f t="shared" si="46"/>
        <v>#N/A</v>
      </c>
      <c r="AE383" s="10" t="e">
        <f t="shared" si="47"/>
        <v>#N/A</v>
      </c>
      <c r="AF383" s="10" t="e">
        <f t="shared" si="48"/>
        <v>#N/A</v>
      </c>
    </row>
    <row r="384" spans="1:32">
      <c r="A384" s="70">
        <f t="shared" si="33"/>
        <v>1</v>
      </c>
      <c r="B384" s="90" t="s">
        <v>423</v>
      </c>
      <c r="C384" s="90" t="s">
        <v>400</v>
      </c>
      <c r="D384" s="90">
        <v>3.2670695586536738</v>
      </c>
      <c r="E384" s="90">
        <v>2.0318455687064416</v>
      </c>
      <c r="F384" s="90">
        <v>4.3713083460010331</v>
      </c>
      <c r="G384" s="411"/>
      <c r="H384" s="411"/>
      <c r="I384" s="411"/>
      <c r="J384" s="11"/>
      <c r="K384" s="11"/>
      <c r="L384" s="11"/>
      <c r="M384" s="11"/>
      <c r="N384" s="11"/>
      <c r="O384" s="11"/>
      <c r="P384" s="528"/>
      <c r="Q384" s="527">
        <f t="shared" si="34"/>
        <v>0</v>
      </c>
      <c r="R384" s="137">
        <v>9</v>
      </c>
      <c r="S384" s="90" t="e">
        <f t="shared" si="35"/>
        <v>#N/A</v>
      </c>
      <c r="T384" s="90" t="e">
        <f t="shared" si="36"/>
        <v>#N/A</v>
      </c>
      <c r="U384" s="90" t="e">
        <f t="shared" si="37"/>
        <v>#N/A</v>
      </c>
      <c r="V384" s="90" t="e">
        <f t="shared" si="38"/>
        <v>#N/A</v>
      </c>
      <c r="W384" s="10" t="e">
        <f t="shared" si="39"/>
        <v>#N/A</v>
      </c>
      <c r="X384" s="10" t="e">
        <f t="shared" si="40"/>
        <v>#N/A</v>
      </c>
      <c r="Y384" s="10" t="e">
        <f t="shared" si="41"/>
        <v>#N/A</v>
      </c>
      <c r="Z384" s="10" t="e">
        <f t="shared" si="42"/>
        <v>#N/A</v>
      </c>
      <c r="AA384" s="10" t="e">
        <f t="shared" si="43"/>
        <v>#N/A</v>
      </c>
      <c r="AB384" s="10" t="e">
        <f t="shared" si="44"/>
        <v>#N/A</v>
      </c>
      <c r="AC384" s="10" t="e">
        <f t="shared" si="45"/>
        <v>#N/A</v>
      </c>
      <c r="AD384" s="10" t="e">
        <f t="shared" si="46"/>
        <v>#N/A</v>
      </c>
      <c r="AE384" s="10" t="e">
        <f t="shared" si="47"/>
        <v>#N/A</v>
      </c>
      <c r="AF384" s="10" t="e">
        <f t="shared" si="48"/>
        <v>#N/A</v>
      </c>
    </row>
    <row r="385" spans="1:32">
      <c r="A385" s="70">
        <f t="shared" si="33"/>
        <v>1</v>
      </c>
      <c r="B385" s="90" t="s">
        <v>424</v>
      </c>
      <c r="C385" s="90" t="s">
        <v>401</v>
      </c>
      <c r="D385" s="90">
        <v>2.0133234684145331</v>
      </c>
      <c r="E385" s="90">
        <v>0.28738553453709426</v>
      </c>
      <c r="F385" s="90">
        <v>3.5562400783996146</v>
      </c>
      <c r="G385" s="411"/>
      <c r="H385" s="411"/>
      <c r="I385" s="411"/>
      <c r="J385" s="11"/>
      <c r="K385" s="11"/>
      <c r="L385" s="11"/>
      <c r="M385" s="11"/>
      <c r="N385" s="11"/>
      <c r="O385" s="11"/>
      <c r="P385" s="528"/>
      <c r="Q385" s="527">
        <f t="shared" si="34"/>
        <v>0</v>
      </c>
      <c r="R385" s="137">
        <v>10</v>
      </c>
      <c r="S385" s="90" t="e">
        <f t="shared" si="35"/>
        <v>#N/A</v>
      </c>
      <c r="T385" s="90" t="e">
        <f t="shared" si="36"/>
        <v>#N/A</v>
      </c>
      <c r="U385" s="90" t="e">
        <f t="shared" si="37"/>
        <v>#N/A</v>
      </c>
      <c r="V385" s="90" t="e">
        <f t="shared" si="38"/>
        <v>#N/A</v>
      </c>
      <c r="W385" s="10" t="e">
        <f t="shared" si="39"/>
        <v>#N/A</v>
      </c>
      <c r="X385" s="10" t="e">
        <f t="shared" si="40"/>
        <v>#N/A</v>
      </c>
      <c r="Y385" s="10" t="e">
        <f t="shared" si="41"/>
        <v>#N/A</v>
      </c>
      <c r="Z385" s="10" t="e">
        <f t="shared" si="42"/>
        <v>#N/A</v>
      </c>
      <c r="AA385" s="10" t="e">
        <f t="shared" si="43"/>
        <v>#N/A</v>
      </c>
      <c r="AB385" s="10" t="e">
        <f t="shared" si="44"/>
        <v>#N/A</v>
      </c>
      <c r="AC385" s="10" t="e">
        <f t="shared" si="45"/>
        <v>#N/A</v>
      </c>
      <c r="AD385" s="10" t="e">
        <f t="shared" si="46"/>
        <v>#N/A</v>
      </c>
      <c r="AE385" s="10" t="e">
        <f t="shared" si="47"/>
        <v>#N/A</v>
      </c>
      <c r="AF385" s="10" t="e">
        <f t="shared" si="48"/>
        <v>#N/A</v>
      </c>
    </row>
    <row r="386" spans="1:32">
      <c r="A386" s="70">
        <f t="shared" si="33"/>
        <v>1</v>
      </c>
      <c r="B386" s="90" t="s">
        <v>425</v>
      </c>
      <c r="C386" s="90" t="s">
        <v>402</v>
      </c>
      <c r="D386" s="90">
        <v>0.55382835293835386</v>
      </c>
      <c r="E386" s="90">
        <v>0.37167705974038379</v>
      </c>
      <c r="F386" s="90">
        <v>0.71666402059995138</v>
      </c>
      <c r="G386" s="411"/>
      <c r="H386" s="411"/>
      <c r="I386" s="411"/>
      <c r="J386" s="11"/>
      <c r="K386" s="11"/>
      <c r="L386" s="11"/>
      <c r="M386" s="11"/>
      <c r="N386" s="11"/>
      <c r="O386" s="11"/>
      <c r="P386" s="528"/>
      <c r="Q386" s="527">
        <f t="shared" si="34"/>
        <v>0</v>
      </c>
      <c r="R386" s="137">
        <v>11</v>
      </c>
      <c r="S386" s="90" t="e">
        <f t="shared" si="35"/>
        <v>#N/A</v>
      </c>
      <c r="T386" s="90" t="e">
        <f t="shared" si="36"/>
        <v>#N/A</v>
      </c>
      <c r="U386" s="90" t="e">
        <f t="shared" si="37"/>
        <v>#N/A</v>
      </c>
      <c r="V386" s="90" t="e">
        <f t="shared" si="38"/>
        <v>#N/A</v>
      </c>
      <c r="W386" s="10" t="e">
        <f t="shared" si="39"/>
        <v>#N/A</v>
      </c>
      <c r="X386" s="10" t="e">
        <f t="shared" si="40"/>
        <v>#N/A</v>
      </c>
      <c r="Y386" s="10" t="e">
        <f t="shared" si="41"/>
        <v>#N/A</v>
      </c>
      <c r="Z386" s="10" t="e">
        <f t="shared" si="42"/>
        <v>#N/A</v>
      </c>
      <c r="AA386" s="10" t="e">
        <f t="shared" si="43"/>
        <v>#N/A</v>
      </c>
      <c r="AB386" s="10" t="e">
        <f t="shared" si="44"/>
        <v>#N/A</v>
      </c>
      <c r="AC386" s="10" t="e">
        <f t="shared" si="45"/>
        <v>#N/A</v>
      </c>
      <c r="AD386" s="10" t="e">
        <f t="shared" si="46"/>
        <v>#N/A</v>
      </c>
      <c r="AE386" s="10" t="e">
        <f t="shared" si="47"/>
        <v>#N/A</v>
      </c>
      <c r="AF386" s="10" t="e">
        <f t="shared" si="48"/>
        <v>#N/A</v>
      </c>
    </row>
    <row r="387" spans="1:32">
      <c r="A387" s="70">
        <f t="shared" si="33"/>
        <v>1</v>
      </c>
      <c r="B387" s="90" t="s">
        <v>426</v>
      </c>
      <c r="C387" s="90" t="s">
        <v>403</v>
      </c>
      <c r="D387" s="90">
        <v>7.6372013897529758</v>
      </c>
      <c r="E387" s="90">
        <v>3.1391390493249474</v>
      </c>
      <c r="F387" s="90">
        <v>11.658281731966259</v>
      </c>
      <c r="G387" s="411"/>
      <c r="H387" s="411"/>
      <c r="I387" s="411"/>
      <c r="J387" s="11"/>
      <c r="K387" s="11"/>
      <c r="L387" s="11"/>
      <c r="M387" s="11"/>
      <c r="N387" s="11"/>
      <c r="O387" s="11"/>
      <c r="P387" s="528"/>
      <c r="Q387" s="527">
        <f t="shared" si="34"/>
        <v>0</v>
      </c>
      <c r="R387" s="137">
        <v>12</v>
      </c>
      <c r="S387" s="90" t="e">
        <f t="shared" si="35"/>
        <v>#N/A</v>
      </c>
      <c r="T387" s="90" t="e">
        <f t="shared" si="36"/>
        <v>#N/A</v>
      </c>
      <c r="U387" s="90" t="e">
        <f t="shared" si="37"/>
        <v>#N/A</v>
      </c>
      <c r="V387" s="90" t="e">
        <f t="shared" si="38"/>
        <v>#N/A</v>
      </c>
      <c r="W387" s="10" t="e">
        <f t="shared" si="39"/>
        <v>#N/A</v>
      </c>
      <c r="X387" s="10" t="e">
        <f t="shared" si="40"/>
        <v>#N/A</v>
      </c>
      <c r="Y387" s="10" t="e">
        <f t="shared" si="41"/>
        <v>#N/A</v>
      </c>
      <c r="Z387" s="10" t="e">
        <f t="shared" si="42"/>
        <v>#N/A</v>
      </c>
      <c r="AA387" s="10" t="e">
        <f t="shared" si="43"/>
        <v>#N/A</v>
      </c>
      <c r="AB387" s="10" t="e">
        <f t="shared" si="44"/>
        <v>#N/A</v>
      </c>
      <c r="AC387" s="10" t="e">
        <f t="shared" si="45"/>
        <v>#N/A</v>
      </c>
      <c r="AD387" s="10" t="e">
        <f t="shared" si="46"/>
        <v>#N/A</v>
      </c>
      <c r="AE387" s="10" t="e">
        <f t="shared" si="47"/>
        <v>#N/A</v>
      </c>
      <c r="AF387" s="10" t="e">
        <f t="shared" si="48"/>
        <v>#N/A</v>
      </c>
    </row>
    <row r="388" spans="1:32">
      <c r="A388" s="70">
        <f t="shared" si="33"/>
        <v>1</v>
      </c>
      <c r="B388" s="90" t="s">
        <v>427</v>
      </c>
      <c r="C388" s="90" t="s">
        <v>404</v>
      </c>
      <c r="D388" s="90">
        <v>0.99120287415322317</v>
      </c>
      <c r="E388" s="90">
        <v>1.0152436778269249</v>
      </c>
      <c r="F388" s="90">
        <v>0.96971139721336985</v>
      </c>
      <c r="G388" s="411"/>
      <c r="H388" s="411"/>
      <c r="I388" s="411"/>
      <c r="J388" s="11"/>
      <c r="K388" s="11"/>
      <c r="L388" s="11"/>
      <c r="M388" s="11"/>
      <c r="N388" s="11"/>
      <c r="O388" s="11"/>
      <c r="P388" s="528"/>
      <c r="Q388" s="527">
        <f t="shared" si="34"/>
        <v>0</v>
      </c>
      <c r="R388" s="137">
        <v>13</v>
      </c>
      <c r="S388" s="90" t="e">
        <f t="shared" si="35"/>
        <v>#N/A</v>
      </c>
      <c r="T388" s="90" t="e">
        <f t="shared" si="36"/>
        <v>#N/A</v>
      </c>
      <c r="U388" s="90" t="e">
        <f t="shared" si="37"/>
        <v>#N/A</v>
      </c>
      <c r="V388" s="90" t="e">
        <f t="shared" si="38"/>
        <v>#N/A</v>
      </c>
      <c r="W388" s="10" t="e">
        <f t="shared" si="39"/>
        <v>#N/A</v>
      </c>
      <c r="X388" s="10" t="e">
        <f t="shared" si="40"/>
        <v>#N/A</v>
      </c>
      <c r="Y388" s="10" t="e">
        <f t="shared" si="41"/>
        <v>#N/A</v>
      </c>
      <c r="Z388" s="10" t="e">
        <f t="shared" si="42"/>
        <v>#N/A</v>
      </c>
      <c r="AA388" s="10" t="e">
        <f t="shared" si="43"/>
        <v>#N/A</v>
      </c>
      <c r="AB388" s="10" t="e">
        <f t="shared" si="44"/>
        <v>#N/A</v>
      </c>
      <c r="AC388" s="10" t="e">
        <f t="shared" si="45"/>
        <v>#N/A</v>
      </c>
      <c r="AD388" s="10" t="e">
        <f t="shared" si="46"/>
        <v>#N/A</v>
      </c>
      <c r="AE388" s="10" t="e">
        <f t="shared" si="47"/>
        <v>#N/A</v>
      </c>
      <c r="AF388" s="10" t="e">
        <f t="shared" si="48"/>
        <v>#N/A</v>
      </c>
    </row>
    <row r="389" spans="1:32">
      <c r="A389" s="70">
        <f t="shared" si="33"/>
        <v>1</v>
      </c>
      <c r="B389" s="90" t="s">
        <v>428</v>
      </c>
      <c r="C389" s="90" t="s">
        <v>405</v>
      </c>
      <c r="D389" s="90">
        <v>6.3671270910621552E-2</v>
      </c>
      <c r="E389" s="90">
        <v>8.6390581739113612E-2</v>
      </c>
      <c r="F389" s="90">
        <v>4.3361153520743538E-2</v>
      </c>
      <c r="G389" s="411"/>
      <c r="H389" s="411"/>
      <c r="I389" s="411"/>
      <c r="J389" s="11"/>
      <c r="K389" s="11"/>
      <c r="L389" s="11"/>
      <c r="M389" s="11"/>
      <c r="N389" s="11"/>
      <c r="O389" s="11"/>
      <c r="P389" s="528"/>
      <c r="Q389" s="527">
        <f t="shared" si="34"/>
        <v>0</v>
      </c>
      <c r="R389" s="137">
        <v>14</v>
      </c>
      <c r="S389" s="90" t="e">
        <f t="shared" si="35"/>
        <v>#N/A</v>
      </c>
      <c r="T389" s="90" t="e">
        <f t="shared" si="36"/>
        <v>#N/A</v>
      </c>
      <c r="U389" s="90" t="e">
        <f t="shared" si="37"/>
        <v>#N/A</v>
      </c>
      <c r="V389" s="90" t="e">
        <f t="shared" si="38"/>
        <v>#N/A</v>
      </c>
      <c r="W389" s="10" t="e">
        <f t="shared" si="39"/>
        <v>#N/A</v>
      </c>
      <c r="X389" s="10" t="e">
        <f t="shared" si="40"/>
        <v>#N/A</v>
      </c>
      <c r="Y389" s="10" t="e">
        <f t="shared" si="41"/>
        <v>#N/A</v>
      </c>
      <c r="Z389" s="10" t="e">
        <f t="shared" si="42"/>
        <v>#N/A</v>
      </c>
      <c r="AA389" s="10" t="e">
        <f t="shared" si="43"/>
        <v>#N/A</v>
      </c>
      <c r="AB389" s="10" t="e">
        <f t="shared" si="44"/>
        <v>#N/A</v>
      </c>
      <c r="AC389" s="10" t="e">
        <f t="shared" si="45"/>
        <v>#N/A</v>
      </c>
      <c r="AD389" s="10" t="e">
        <f t="shared" si="46"/>
        <v>#N/A</v>
      </c>
      <c r="AE389" s="10" t="e">
        <f t="shared" si="47"/>
        <v>#N/A</v>
      </c>
      <c r="AF389" s="10" t="e">
        <f t="shared" si="48"/>
        <v>#N/A</v>
      </c>
    </row>
    <row r="390" spans="1:32">
      <c r="A390" s="70">
        <f t="shared" si="33"/>
        <v>1</v>
      </c>
      <c r="B390" s="90" t="s">
        <v>502</v>
      </c>
      <c r="C390" s="90" t="s">
        <v>406</v>
      </c>
      <c r="D390" s="90">
        <v>0.88923170679705144</v>
      </c>
      <c r="E390" s="90">
        <v>1.1616631606934789</v>
      </c>
      <c r="F390" s="90">
        <v>0.64568933655963368</v>
      </c>
      <c r="G390" s="411"/>
      <c r="H390" s="411"/>
      <c r="I390" s="411"/>
      <c r="J390" s="11"/>
      <c r="K390" s="11"/>
      <c r="L390" s="11"/>
      <c r="M390" s="11"/>
      <c r="N390" s="11"/>
      <c r="O390" s="11"/>
      <c r="P390" s="528"/>
      <c r="Q390" s="527">
        <f t="shared" si="34"/>
        <v>0</v>
      </c>
      <c r="R390" s="137">
        <v>15</v>
      </c>
      <c r="S390" s="90" t="e">
        <f t="shared" si="35"/>
        <v>#N/A</v>
      </c>
      <c r="T390" s="90" t="e">
        <f t="shared" si="36"/>
        <v>#N/A</v>
      </c>
      <c r="U390" s="90" t="e">
        <f t="shared" si="37"/>
        <v>#N/A</v>
      </c>
      <c r="V390" s="90" t="e">
        <f t="shared" si="38"/>
        <v>#N/A</v>
      </c>
      <c r="W390" s="10" t="e">
        <f t="shared" si="39"/>
        <v>#N/A</v>
      </c>
      <c r="X390" s="10" t="e">
        <f t="shared" si="40"/>
        <v>#N/A</v>
      </c>
      <c r="Y390" s="10" t="e">
        <f t="shared" si="41"/>
        <v>#N/A</v>
      </c>
      <c r="Z390" s="10" t="e">
        <f t="shared" si="42"/>
        <v>#N/A</v>
      </c>
      <c r="AA390" s="10" t="e">
        <f t="shared" si="43"/>
        <v>#N/A</v>
      </c>
      <c r="AB390" s="10" t="e">
        <f t="shared" si="44"/>
        <v>#N/A</v>
      </c>
      <c r="AC390" s="10" t="e">
        <f t="shared" si="45"/>
        <v>#N/A</v>
      </c>
      <c r="AD390" s="10" t="e">
        <f t="shared" si="46"/>
        <v>#N/A</v>
      </c>
      <c r="AE390" s="10" t="e">
        <f t="shared" si="47"/>
        <v>#N/A</v>
      </c>
      <c r="AF390" s="10" t="e">
        <f t="shared" si="48"/>
        <v>#N/A</v>
      </c>
    </row>
    <row r="391" spans="1:32">
      <c r="A391" s="70">
        <f t="shared" si="33"/>
        <v>1</v>
      </c>
      <c r="B391" s="90" t="s">
        <v>429</v>
      </c>
      <c r="C391" s="90" t="s">
        <v>407</v>
      </c>
      <c r="D391" s="90">
        <v>1.9124110605593923</v>
      </c>
      <c r="E391" s="90">
        <v>1.6951939425344171</v>
      </c>
      <c r="F391" s="90">
        <v>2.1065941147674256</v>
      </c>
      <c r="G391" s="411"/>
      <c r="H391" s="411"/>
      <c r="I391" s="411"/>
      <c r="J391" s="11"/>
      <c r="K391" s="11"/>
      <c r="L391" s="11"/>
      <c r="M391" s="11"/>
      <c r="N391" s="11"/>
      <c r="O391" s="11"/>
      <c r="P391" s="528"/>
      <c r="Q391" s="527">
        <f t="shared" si="34"/>
        <v>0</v>
      </c>
      <c r="R391" s="137">
        <v>16</v>
      </c>
      <c r="S391" s="90" t="e">
        <f t="shared" si="35"/>
        <v>#N/A</v>
      </c>
      <c r="T391" s="90" t="e">
        <f t="shared" si="36"/>
        <v>#N/A</v>
      </c>
      <c r="U391" s="90" t="e">
        <f t="shared" si="37"/>
        <v>#N/A</v>
      </c>
      <c r="V391" s="90" t="e">
        <f t="shared" si="38"/>
        <v>#N/A</v>
      </c>
      <c r="W391" s="10" t="e">
        <f t="shared" si="39"/>
        <v>#N/A</v>
      </c>
      <c r="X391" s="10" t="e">
        <f t="shared" si="40"/>
        <v>#N/A</v>
      </c>
      <c r="Y391" s="10" t="e">
        <f t="shared" si="41"/>
        <v>#N/A</v>
      </c>
      <c r="Z391" s="10" t="e">
        <f t="shared" si="42"/>
        <v>#N/A</v>
      </c>
      <c r="AA391" s="10" t="e">
        <f t="shared" si="43"/>
        <v>#N/A</v>
      </c>
      <c r="AB391" s="10" t="e">
        <f t="shared" si="44"/>
        <v>#N/A</v>
      </c>
      <c r="AC391" s="10" t="e">
        <f t="shared" si="45"/>
        <v>#N/A</v>
      </c>
      <c r="AD391" s="10" t="e">
        <f t="shared" si="46"/>
        <v>#N/A</v>
      </c>
      <c r="AE391" s="10" t="e">
        <f t="shared" si="47"/>
        <v>#N/A</v>
      </c>
      <c r="AF391" s="10" t="e">
        <f t="shared" si="48"/>
        <v>#N/A</v>
      </c>
    </row>
    <row r="392" spans="1:32">
      <c r="A392" s="70">
        <f t="shared" si="33"/>
        <v>1</v>
      </c>
      <c r="B392" s="90" t="s">
        <v>430</v>
      </c>
      <c r="C392" s="90" t="s">
        <v>408</v>
      </c>
      <c r="D392" s="90">
        <v>5.1104281302880299</v>
      </c>
      <c r="E392" s="90">
        <v>4.2260181761832811</v>
      </c>
      <c r="F392" s="90">
        <v>5.9010537845714133</v>
      </c>
      <c r="G392" s="411"/>
      <c r="H392" s="411"/>
      <c r="I392" s="411"/>
      <c r="J392" s="11"/>
      <c r="K392" s="11"/>
      <c r="L392" s="11"/>
      <c r="M392" s="11"/>
      <c r="N392" s="11"/>
      <c r="O392" s="11"/>
      <c r="P392" s="528"/>
      <c r="Q392" s="527">
        <f t="shared" si="34"/>
        <v>0</v>
      </c>
      <c r="R392" s="137">
        <v>17</v>
      </c>
      <c r="S392" s="90" t="e">
        <f t="shared" si="35"/>
        <v>#N/A</v>
      </c>
      <c r="T392" s="90" t="e">
        <f t="shared" si="36"/>
        <v>#N/A</v>
      </c>
      <c r="U392" s="90" t="e">
        <f t="shared" si="37"/>
        <v>#N/A</v>
      </c>
      <c r="V392" s="90" t="e">
        <f t="shared" si="38"/>
        <v>#N/A</v>
      </c>
      <c r="W392" s="10" t="e">
        <f t="shared" si="39"/>
        <v>#N/A</v>
      </c>
      <c r="X392" s="10" t="e">
        <f t="shared" si="40"/>
        <v>#N/A</v>
      </c>
      <c r="Y392" s="10" t="e">
        <f t="shared" si="41"/>
        <v>#N/A</v>
      </c>
      <c r="Z392" s="10" t="e">
        <f t="shared" si="42"/>
        <v>#N/A</v>
      </c>
      <c r="AA392" s="10" t="e">
        <f t="shared" si="43"/>
        <v>#N/A</v>
      </c>
      <c r="AB392" s="10" t="e">
        <f t="shared" si="44"/>
        <v>#N/A</v>
      </c>
      <c r="AC392" s="10" t="e">
        <f t="shared" si="45"/>
        <v>#N/A</v>
      </c>
      <c r="AD392" s="10" t="e">
        <f t="shared" si="46"/>
        <v>#N/A</v>
      </c>
      <c r="AE392" s="10" t="e">
        <f t="shared" si="47"/>
        <v>#N/A</v>
      </c>
      <c r="AF392" s="10" t="e">
        <f t="shared" si="48"/>
        <v>#N/A</v>
      </c>
    </row>
    <row r="393" spans="1:32">
      <c r="A393" s="70">
        <f t="shared" si="33"/>
        <v>1</v>
      </c>
      <c r="B393" s="90" t="s">
        <v>433</v>
      </c>
      <c r="C393" s="90" t="s">
        <v>411</v>
      </c>
      <c r="D393" s="90">
        <v>6.9061522377659124</v>
      </c>
      <c r="E393" s="90">
        <v>7.2281423390815931</v>
      </c>
      <c r="F393" s="90">
        <v>6.6183065013583242</v>
      </c>
      <c r="G393" s="411"/>
      <c r="H393" s="411"/>
      <c r="I393" s="411"/>
      <c r="J393" s="11"/>
      <c r="K393" s="11"/>
      <c r="L393" s="11"/>
      <c r="M393" s="11"/>
      <c r="N393" s="11"/>
      <c r="O393" s="11"/>
      <c r="P393" s="528"/>
      <c r="Q393" s="527">
        <f t="shared" si="34"/>
        <v>0</v>
      </c>
      <c r="R393" s="137">
        <v>18</v>
      </c>
      <c r="S393" s="90" t="e">
        <f t="shared" si="35"/>
        <v>#N/A</v>
      </c>
      <c r="T393" s="90" t="e">
        <f t="shared" si="36"/>
        <v>#N/A</v>
      </c>
      <c r="U393" s="90" t="e">
        <f t="shared" si="37"/>
        <v>#N/A</v>
      </c>
      <c r="V393" s="90" t="e">
        <f t="shared" si="38"/>
        <v>#N/A</v>
      </c>
      <c r="W393" s="10" t="e">
        <f t="shared" si="39"/>
        <v>#N/A</v>
      </c>
      <c r="X393" s="10" t="e">
        <f t="shared" si="40"/>
        <v>#N/A</v>
      </c>
      <c r="Y393" s="10" t="e">
        <f t="shared" si="41"/>
        <v>#N/A</v>
      </c>
      <c r="Z393" s="10" t="e">
        <f t="shared" si="42"/>
        <v>#N/A</v>
      </c>
      <c r="AA393" s="10" t="e">
        <f t="shared" si="43"/>
        <v>#N/A</v>
      </c>
      <c r="AB393" s="10" t="e">
        <f t="shared" si="44"/>
        <v>#N/A</v>
      </c>
      <c r="AC393" s="10" t="e">
        <f t="shared" si="45"/>
        <v>#N/A</v>
      </c>
      <c r="AD393" s="10" t="e">
        <f t="shared" si="46"/>
        <v>#N/A</v>
      </c>
      <c r="AE393" s="10" t="e">
        <f t="shared" si="47"/>
        <v>#N/A</v>
      </c>
      <c r="AF393" s="10" t="e">
        <f t="shared" si="48"/>
        <v>#N/A</v>
      </c>
    </row>
    <row r="394" spans="1:32">
      <c r="A394" s="70">
        <f t="shared" si="33"/>
        <v>1</v>
      </c>
      <c r="B394" s="90" t="s">
        <v>434</v>
      </c>
      <c r="C394" s="90" t="s">
        <v>412</v>
      </c>
      <c r="D394" s="90">
        <v>16.646156843855412</v>
      </c>
      <c r="E394" s="90">
        <v>15.934967112723038</v>
      </c>
      <c r="F394" s="90">
        <v>17.281930835188799</v>
      </c>
      <c r="G394" s="411"/>
      <c r="H394" s="411"/>
      <c r="I394" s="411"/>
      <c r="J394" s="11"/>
      <c r="K394" s="11"/>
      <c r="L394" s="11"/>
      <c r="M394" s="11"/>
      <c r="N394" s="11"/>
      <c r="O394" s="11"/>
      <c r="P394" s="528"/>
      <c r="Q394" s="527">
        <f t="shared" si="34"/>
        <v>0</v>
      </c>
      <c r="R394" s="137">
        <v>19</v>
      </c>
      <c r="S394" s="90" t="e">
        <f t="shared" si="35"/>
        <v>#N/A</v>
      </c>
      <c r="T394" s="90" t="e">
        <f t="shared" si="36"/>
        <v>#N/A</v>
      </c>
      <c r="U394" s="90" t="e">
        <f t="shared" si="37"/>
        <v>#N/A</v>
      </c>
      <c r="V394" s="90" t="e">
        <f t="shared" si="38"/>
        <v>#N/A</v>
      </c>
      <c r="W394" s="10" t="e">
        <f t="shared" si="39"/>
        <v>#N/A</v>
      </c>
      <c r="X394" s="10" t="e">
        <f t="shared" si="40"/>
        <v>#N/A</v>
      </c>
      <c r="Y394" s="10" t="e">
        <f t="shared" si="41"/>
        <v>#N/A</v>
      </c>
      <c r="Z394" s="10" t="e">
        <f t="shared" si="42"/>
        <v>#N/A</v>
      </c>
      <c r="AA394" s="10" t="e">
        <f t="shared" si="43"/>
        <v>#N/A</v>
      </c>
      <c r="AB394" s="10" t="e">
        <f t="shared" si="44"/>
        <v>#N/A</v>
      </c>
      <c r="AC394" s="10" t="e">
        <f t="shared" si="45"/>
        <v>#N/A</v>
      </c>
      <c r="AD394" s="10" t="e">
        <f t="shared" si="46"/>
        <v>#N/A</v>
      </c>
      <c r="AE394" s="10" t="e">
        <f t="shared" si="47"/>
        <v>#N/A</v>
      </c>
      <c r="AF394" s="10" t="e">
        <f t="shared" si="48"/>
        <v>#N/A</v>
      </c>
    </row>
    <row r="395" spans="1:32">
      <c r="A395" s="70">
        <f t="shared" si="33"/>
        <v>1</v>
      </c>
      <c r="B395" s="90" t="s">
        <v>435</v>
      </c>
      <c r="C395" s="90" t="s">
        <v>413</v>
      </c>
      <c r="D395" s="90">
        <v>0.10573024925432734</v>
      </c>
      <c r="E395" s="514" t="s">
        <v>460</v>
      </c>
      <c r="F395" s="90">
        <v>0.20024868734547877</v>
      </c>
      <c r="G395" s="411"/>
      <c r="H395" s="411"/>
      <c r="I395" s="411"/>
      <c r="J395" s="11"/>
      <c r="K395" s="11"/>
      <c r="L395" s="11"/>
      <c r="M395" s="11"/>
      <c r="N395" s="11"/>
      <c r="O395" s="11"/>
      <c r="P395" s="528"/>
      <c r="Q395" s="527">
        <f t="shared" si="34"/>
        <v>0</v>
      </c>
      <c r="R395" s="137">
        <v>20</v>
      </c>
      <c r="S395" s="90" t="e">
        <f t="shared" si="35"/>
        <v>#N/A</v>
      </c>
      <c r="T395" s="90" t="e">
        <f t="shared" si="36"/>
        <v>#N/A</v>
      </c>
      <c r="U395" s="90" t="e">
        <f t="shared" si="37"/>
        <v>#N/A</v>
      </c>
      <c r="V395" s="90" t="e">
        <f t="shared" si="38"/>
        <v>#N/A</v>
      </c>
      <c r="W395" s="10" t="e">
        <f t="shared" si="39"/>
        <v>#N/A</v>
      </c>
      <c r="X395" s="10" t="e">
        <f t="shared" si="40"/>
        <v>#N/A</v>
      </c>
      <c r="Y395" s="10" t="e">
        <f t="shared" si="41"/>
        <v>#N/A</v>
      </c>
      <c r="Z395" s="10" t="e">
        <f t="shared" si="42"/>
        <v>#N/A</v>
      </c>
      <c r="AA395" s="10" t="e">
        <f t="shared" si="43"/>
        <v>#N/A</v>
      </c>
      <c r="AB395" s="10" t="e">
        <f t="shared" si="44"/>
        <v>#N/A</v>
      </c>
      <c r="AC395" s="10" t="e">
        <f t="shared" si="45"/>
        <v>#N/A</v>
      </c>
      <c r="AD395" s="10" t="e">
        <f t="shared" si="46"/>
        <v>#N/A</v>
      </c>
      <c r="AE395" s="10" t="e">
        <f t="shared" si="47"/>
        <v>#N/A</v>
      </c>
      <c r="AF395" s="10" t="e">
        <f t="shared" si="48"/>
        <v>#N/A</v>
      </c>
    </row>
    <row r="396" spans="1:32">
      <c r="A396" s="70">
        <f t="shared" si="33"/>
        <v>1</v>
      </c>
      <c r="B396" s="90" t="s">
        <v>436</v>
      </c>
      <c r="C396" s="90" t="s">
        <v>414</v>
      </c>
      <c r="D396" s="90">
        <v>0.60290039880264978</v>
      </c>
      <c r="E396" s="514" t="s">
        <v>460</v>
      </c>
      <c r="F396" s="90">
        <v>1.1418682383873697</v>
      </c>
      <c r="G396" s="411"/>
      <c r="H396" s="411"/>
      <c r="I396" s="411"/>
      <c r="J396" s="11"/>
      <c r="K396" s="11"/>
      <c r="L396" s="11"/>
      <c r="M396" s="11"/>
      <c r="N396" s="11"/>
      <c r="O396" s="11"/>
      <c r="P396" s="528"/>
      <c r="Q396" s="527">
        <f t="shared" si="34"/>
        <v>0</v>
      </c>
      <c r="R396" s="137">
        <v>21</v>
      </c>
      <c r="S396" s="90" t="e">
        <f t="shared" si="35"/>
        <v>#N/A</v>
      </c>
      <c r="T396" s="90" t="e">
        <f t="shared" si="36"/>
        <v>#N/A</v>
      </c>
      <c r="U396" s="90" t="e">
        <f t="shared" si="37"/>
        <v>#N/A</v>
      </c>
      <c r="V396" s="90" t="e">
        <f t="shared" si="38"/>
        <v>#N/A</v>
      </c>
      <c r="W396" s="10" t="e">
        <f t="shared" si="39"/>
        <v>#N/A</v>
      </c>
      <c r="X396" s="10" t="e">
        <f t="shared" si="40"/>
        <v>#N/A</v>
      </c>
      <c r="Y396" s="10" t="e">
        <f t="shared" si="41"/>
        <v>#N/A</v>
      </c>
      <c r="Z396" s="10" t="e">
        <f t="shared" si="42"/>
        <v>#N/A</v>
      </c>
      <c r="AA396" s="10" t="e">
        <f t="shared" si="43"/>
        <v>#N/A</v>
      </c>
      <c r="AB396" s="10" t="e">
        <f t="shared" si="44"/>
        <v>#N/A</v>
      </c>
      <c r="AC396" s="10" t="e">
        <f t="shared" si="45"/>
        <v>#N/A</v>
      </c>
      <c r="AD396" s="10" t="e">
        <f t="shared" si="46"/>
        <v>#N/A</v>
      </c>
      <c r="AE396" s="10" t="e">
        <f t="shared" si="47"/>
        <v>#N/A</v>
      </c>
      <c r="AF396" s="10" t="e">
        <f t="shared" si="48"/>
        <v>#N/A</v>
      </c>
    </row>
    <row r="397" spans="1:32">
      <c r="A397" s="70">
        <f t="shared" si="33"/>
        <v>1</v>
      </c>
      <c r="B397" s="90" t="s">
        <v>437</v>
      </c>
      <c r="C397" s="90" t="s">
        <v>415</v>
      </c>
      <c r="D397" s="90">
        <v>0.3878070924647698</v>
      </c>
      <c r="E397" s="90">
        <v>0.82161600188997408</v>
      </c>
      <c r="F397" s="514" t="s">
        <v>460</v>
      </c>
      <c r="G397" s="411"/>
      <c r="H397" s="411"/>
      <c r="I397" s="411"/>
      <c r="J397" s="11"/>
      <c r="K397" s="11"/>
      <c r="L397" s="11"/>
      <c r="M397" s="11"/>
      <c r="N397" s="11"/>
      <c r="O397" s="11"/>
      <c r="P397" s="528"/>
      <c r="Q397" s="527">
        <f t="shared" si="34"/>
        <v>0</v>
      </c>
      <c r="R397" s="137">
        <v>22</v>
      </c>
      <c r="S397" s="90" t="e">
        <f t="shared" si="35"/>
        <v>#N/A</v>
      </c>
      <c r="T397" s="90" t="e">
        <f t="shared" si="36"/>
        <v>#N/A</v>
      </c>
      <c r="U397" s="90" t="e">
        <f t="shared" si="37"/>
        <v>#N/A</v>
      </c>
      <c r="V397" s="90" t="e">
        <f t="shared" si="38"/>
        <v>#N/A</v>
      </c>
      <c r="W397" s="10" t="e">
        <f t="shared" si="39"/>
        <v>#N/A</v>
      </c>
      <c r="X397" s="10" t="e">
        <f t="shared" si="40"/>
        <v>#N/A</v>
      </c>
      <c r="Y397" s="10" t="e">
        <f t="shared" si="41"/>
        <v>#N/A</v>
      </c>
      <c r="Z397" s="10" t="e">
        <f t="shared" si="42"/>
        <v>#N/A</v>
      </c>
      <c r="AA397" s="10" t="e">
        <f t="shared" si="43"/>
        <v>#N/A</v>
      </c>
      <c r="AB397" s="10" t="e">
        <f t="shared" si="44"/>
        <v>#N/A</v>
      </c>
      <c r="AC397" s="10" t="e">
        <f t="shared" si="45"/>
        <v>#N/A</v>
      </c>
      <c r="AD397" s="10" t="e">
        <f t="shared" si="46"/>
        <v>#N/A</v>
      </c>
      <c r="AE397" s="10" t="e">
        <f t="shared" si="47"/>
        <v>#N/A</v>
      </c>
      <c r="AF397" s="10" t="e">
        <f t="shared" si="48"/>
        <v>#N/A</v>
      </c>
    </row>
    <row r="398" spans="1:32">
      <c r="A398" s="70"/>
      <c r="B398" s="90" t="s">
        <v>431</v>
      </c>
      <c r="C398" s="90" t="s">
        <v>409</v>
      </c>
      <c r="D398" s="90">
        <v>0.7330209701403595</v>
      </c>
      <c r="E398" s="90">
        <v>0.7100367417209712</v>
      </c>
      <c r="F398" s="90">
        <v>0.7535679128199817</v>
      </c>
      <c r="G398" s="411"/>
      <c r="H398" s="411"/>
      <c r="I398" s="411"/>
      <c r="J398" s="11"/>
      <c r="K398" s="11"/>
      <c r="L398" s="11"/>
      <c r="M398" s="11"/>
      <c r="N398" s="11"/>
      <c r="O398" s="11"/>
      <c r="P398" s="529"/>
      <c r="Q398" s="70"/>
      <c r="R398" s="137"/>
      <c r="S398" s="503" t="str">
        <f>B398</f>
        <v>Diabetes - insulino dependente (T89)</v>
      </c>
      <c r="T398" s="503" t="str">
        <f>C398</f>
        <v>T89</v>
      </c>
      <c r="U398" s="503">
        <f>D398/D$393*100</f>
        <v>10.61402854880428</v>
      </c>
      <c r="V398" s="503">
        <f t="shared" ref="V398:AF398" si="49">E398/E$393*100</f>
        <v>9.8232257807361929</v>
      </c>
      <c r="W398" s="503">
        <f t="shared" si="49"/>
        <v>11.386113844460382</v>
      </c>
      <c r="X398" s="503" t="e">
        <f t="shared" si="49"/>
        <v>#DIV/0!</v>
      </c>
      <c r="Y398" s="503" t="e">
        <f t="shared" si="49"/>
        <v>#DIV/0!</v>
      </c>
      <c r="Z398" s="503" t="e">
        <f t="shared" si="49"/>
        <v>#DIV/0!</v>
      </c>
      <c r="AA398" s="503" t="e">
        <f t="shared" si="49"/>
        <v>#DIV/0!</v>
      </c>
      <c r="AB398" s="503" t="e">
        <f t="shared" si="49"/>
        <v>#DIV/0!</v>
      </c>
      <c r="AC398" s="503" t="e">
        <f t="shared" si="49"/>
        <v>#DIV/0!</v>
      </c>
      <c r="AD398" s="503" t="e">
        <f t="shared" si="49"/>
        <v>#DIV/0!</v>
      </c>
      <c r="AE398" s="503" t="e">
        <f t="shared" si="49"/>
        <v>#DIV/0!</v>
      </c>
      <c r="AF398" s="503" t="e">
        <f t="shared" si="49"/>
        <v>#DIV/0!</v>
      </c>
    </row>
    <row r="399" spans="1:32">
      <c r="A399" s="70"/>
      <c r="B399" s="90" t="s">
        <v>432</v>
      </c>
      <c r="C399" s="90" t="s">
        <v>410</v>
      </c>
      <c r="D399" s="90">
        <v>6.1731312676255534</v>
      </c>
      <c r="E399" s="90">
        <v>6.5181055973606208</v>
      </c>
      <c r="F399" s="90">
        <v>5.8647385885383425</v>
      </c>
      <c r="G399" s="411"/>
      <c r="H399" s="411"/>
      <c r="I399" s="411"/>
      <c r="J399" s="11"/>
      <c r="K399" s="11"/>
      <c r="L399" s="11"/>
      <c r="M399" s="11"/>
      <c r="N399" s="11"/>
      <c r="O399" s="11"/>
      <c r="P399" s="529"/>
      <c r="Q399" s="70"/>
      <c r="S399" s="503" t="str">
        <f>B399</f>
        <v>Diabetes - não insulino dependente (T90)</v>
      </c>
      <c r="T399" s="503" t="str">
        <f>C399</f>
        <v>T90</v>
      </c>
      <c r="U399" s="503">
        <f>D399/D$393*100</f>
        <v>89.385971451195729</v>
      </c>
      <c r="V399" s="503">
        <f t="shared" ref="V399" si="50">E399/E$393*100</f>
        <v>90.176774219263791</v>
      </c>
      <c r="W399" s="503">
        <f t="shared" ref="W399" si="51">F399/F$393*100</f>
        <v>88.613886155539618</v>
      </c>
      <c r="X399" s="503" t="e">
        <f t="shared" ref="X399" si="52">G399/G$393*100</f>
        <v>#DIV/0!</v>
      </c>
      <c r="Y399" s="503" t="e">
        <f t="shared" ref="Y399" si="53">H399/H$393*100</f>
        <v>#DIV/0!</v>
      </c>
      <c r="Z399" s="503" t="e">
        <f t="shared" ref="Z399" si="54">I399/I$393*100</f>
        <v>#DIV/0!</v>
      </c>
      <c r="AA399" s="503" t="e">
        <f t="shared" ref="AA399" si="55">J399/J$393*100</f>
        <v>#DIV/0!</v>
      </c>
      <c r="AB399" s="503" t="e">
        <f t="shared" ref="AB399" si="56">K399/K$393*100</f>
        <v>#DIV/0!</v>
      </c>
      <c r="AC399" s="503" t="e">
        <f t="shared" ref="AC399" si="57">L399/L$393*100</f>
        <v>#DIV/0!</v>
      </c>
      <c r="AD399" s="503" t="e">
        <f t="shared" ref="AD399" si="58">M399/M$393*100</f>
        <v>#DIV/0!</v>
      </c>
      <c r="AE399" s="503" t="e">
        <f t="shared" ref="AE399" si="59">N399/N$393*100</f>
        <v>#DIV/0!</v>
      </c>
      <c r="AF399" s="503" t="e">
        <f t="shared" ref="AF399" si="60">O399/O$393*100</f>
        <v>#DIV/0!</v>
      </c>
    </row>
    <row r="400" spans="1:32">
      <c r="A400" s="70"/>
      <c r="B400" s="90"/>
      <c r="C400" s="90"/>
      <c r="D400" s="90"/>
      <c r="E400" s="90"/>
      <c r="F400" s="90"/>
      <c r="G400" s="90"/>
      <c r="H400" s="348"/>
      <c r="I400" s="90"/>
      <c r="J400" s="348"/>
      <c r="K400" s="482"/>
      <c r="L400" s="482"/>
      <c r="M400" s="70"/>
      <c r="N400" s="70"/>
      <c r="O400" s="70"/>
      <c r="P400" s="70"/>
      <c r="Q400" s="70"/>
    </row>
    <row r="401" spans="1:22">
      <c r="B401" s="263"/>
      <c r="C401" s="263"/>
      <c r="D401" s="263"/>
      <c r="E401" s="259"/>
      <c r="F401" s="259"/>
      <c r="G401" s="263"/>
      <c r="H401" s="259"/>
      <c r="I401" s="259"/>
      <c r="J401" s="263"/>
    </row>
    <row r="402" spans="1:22">
      <c r="A402" s="8" t="s">
        <v>440</v>
      </c>
    </row>
    <row r="403" spans="1:22">
      <c r="B403" s="8">
        <v>2000</v>
      </c>
      <c r="C403" s="8">
        <v>2001</v>
      </c>
      <c r="D403" s="8">
        <v>2002</v>
      </c>
      <c r="E403" s="8">
        <v>2003</v>
      </c>
      <c r="F403" s="8">
        <v>2004</v>
      </c>
      <c r="G403" s="8">
        <v>2005</v>
      </c>
      <c r="H403" s="8">
        <v>2006</v>
      </c>
      <c r="I403" s="8">
        <v>2007</v>
      </c>
      <c r="J403" s="8">
        <v>2008</v>
      </c>
      <c r="K403" s="8">
        <v>2009</v>
      </c>
      <c r="L403" s="8">
        <v>2010</v>
      </c>
      <c r="M403" s="8">
        <v>2011</v>
      </c>
      <c r="N403" s="8">
        <v>2012</v>
      </c>
    </row>
    <row r="404" spans="1:22">
      <c r="A404" s="8" t="s">
        <v>16</v>
      </c>
      <c r="B404" s="10">
        <v>10.463687714605671</v>
      </c>
      <c r="C404" s="10">
        <v>10.481357614301229</v>
      </c>
      <c r="D404" s="10">
        <v>10.385730670906113</v>
      </c>
      <c r="E404" s="10">
        <v>9.5255971565741167</v>
      </c>
      <c r="F404" s="10">
        <v>8.3228696533449682</v>
      </c>
      <c r="G404" s="10">
        <v>8.199136220999117</v>
      </c>
      <c r="H404" s="10">
        <v>6.9381773458027514</v>
      </c>
      <c r="I404" s="10">
        <v>5.9493681860675363</v>
      </c>
      <c r="J404" s="10">
        <v>5.4840260076201091</v>
      </c>
      <c r="K404" s="10">
        <v>4.3856443242453036</v>
      </c>
      <c r="L404" s="10">
        <v>4.7122301210620625</v>
      </c>
      <c r="M404" s="10">
        <v>3.763259703697059</v>
      </c>
      <c r="N404" s="10">
        <v>2.3591015361799461</v>
      </c>
    </row>
    <row r="405" spans="1:22">
      <c r="A405" s="8">
        <f>A2</f>
        <v>0</v>
      </c>
      <c r="B405" s="411"/>
      <c r="C405" s="411"/>
      <c r="D405" s="411"/>
      <c r="E405" s="411"/>
      <c r="F405" s="411"/>
      <c r="G405" s="411"/>
      <c r="H405" s="411"/>
      <c r="I405" s="411"/>
      <c r="J405" s="411"/>
      <c r="K405" s="411"/>
      <c r="L405" s="411"/>
      <c r="M405" s="411"/>
      <c r="N405" s="411"/>
    </row>
    <row r="406" spans="1:22">
      <c r="A406" s="8">
        <f>A3</f>
        <v>0</v>
      </c>
      <c r="B406" s="11"/>
      <c r="C406" s="11"/>
      <c r="D406" s="11"/>
      <c r="E406" s="11"/>
      <c r="F406" s="11"/>
      <c r="G406" s="11"/>
      <c r="H406" s="11"/>
      <c r="I406" s="11"/>
      <c r="J406" s="11"/>
      <c r="K406" s="11"/>
      <c r="L406" s="11"/>
      <c r="M406" s="11"/>
      <c r="N406" s="11"/>
    </row>
    <row r="407" spans="1:22">
      <c r="A407" s="8" t="s">
        <v>255</v>
      </c>
      <c r="B407" s="10"/>
      <c r="C407" s="10"/>
      <c r="D407" s="10"/>
      <c r="E407" s="10"/>
      <c r="F407" s="10"/>
      <c r="G407" s="10"/>
      <c r="H407" s="10"/>
      <c r="I407" s="10"/>
      <c r="J407" s="10"/>
      <c r="K407" s="10"/>
      <c r="L407" s="90"/>
      <c r="M407" s="90"/>
      <c r="N407" s="90"/>
      <c r="O407" s="90"/>
      <c r="P407" s="90"/>
      <c r="Q407" s="90"/>
      <c r="R407" s="90"/>
      <c r="S407" s="90"/>
      <c r="T407" s="90"/>
      <c r="U407" s="90"/>
      <c r="V407" s="90"/>
    </row>
    <row r="409" spans="1:22">
      <c r="A409" s="8" t="s">
        <v>441</v>
      </c>
    </row>
    <row r="410" spans="1:22">
      <c r="B410" s="8">
        <v>2000</v>
      </c>
      <c r="C410" s="8">
        <v>2001</v>
      </c>
      <c r="D410" s="8">
        <v>2002</v>
      </c>
      <c r="E410" s="8">
        <v>2003</v>
      </c>
      <c r="F410" s="8">
        <v>2004</v>
      </c>
      <c r="G410" s="8">
        <v>2005</v>
      </c>
      <c r="H410" s="8">
        <v>2006</v>
      </c>
      <c r="I410" s="8">
        <v>2007</v>
      </c>
      <c r="J410" s="8">
        <v>2008</v>
      </c>
      <c r="K410" s="8">
        <v>2009</v>
      </c>
      <c r="L410" s="8">
        <v>2010</v>
      </c>
      <c r="M410" s="8">
        <v>2011</v>
      </c>
      <c r="N410" s="8">
        <v>2012</v>
      </c>
    </row>
    <row r="411" spans="1:22">
      <c r="A411" s="8" t="s">
        <v>16</v>
      </c>
      <c r="B411" s="10">
        <v>27.250461572540303</v>
      </c>
      <c r="C411" s="10">
        <v>23.980536068275665</v>
      </c>
      <c r="D411" s="10">
        <v>22.99769458940704</v>
      </c>
      <c r="E411" s="10">
        <v>21.299596592466045</v>
      </c>
      <c r="F411" s="10">
        <v>20.581825677044414</v>
      </c>
      <c r="G411" s="10">
        <v>19.167980653238182</v>
      </c>
      <c r="H411" s="10">
        <v>19.287134722432974</v>
      </c>
      <c r="I411" s="10">
        <v>18.824717761275672</v>
      </c>
      <c r="J411" s="10">
        <v>18.183875709477203</v>
      </c>
      <c r="K411" s="10">
        <v>16.508321039109305</v>
      </c>
      <c r="L411" s="10">
        <v>15.339601427845492</v>
      </c>
      <c r="M411" s="10">
        <v>12.763224709364101</v>
      </c>
      <c r="N411" s="10">
        <v>7.3871865899872038</v>
      </c>
    </row>
    <row r="412" spans="1:22">
      <c r="A412" s="8">
        <f>A2</f>
        <v>0</v>
      </c>
      <c r="B412" s="411"/>
      <c r="C412" s="411"/>
      <c r="D412" s="411"/>
      <c r="E412" s="411"/>
      <c r="F412" s="411"/>
      <c r="G412" s="411"/>
      <c r="H412" s="411"/>
      <c r="I412" s="411"/>
      <c r="J412" s="411"/>
      <c r="K412" s="411"/>
      <c r="L412" s="411"/>
      <c r="M412" s="411"/>
      <c r="N412" s="411"/>
    </row>
    <row r="413" spans="1:22">
      <c r="A413" s="8">
        <f>A3</f>
        <v>0</v>
      </c>
      <c r="B413" s="11"/>
      <c r="C413" s="11"/>
      <c r="D413" s="11"/>
      <c r="E413" s="11"/>
      <c r="F413" s="11"/>
      <c r="G413" s="11"/>
      <c r="H413" s="11"/>
      <c r="I413" s="11"/>
      <c r="J413" s="11"/>
      <c r="K413" s="11"/>
      <c r="L413" s="11"/>
      <c r="M413" s="11"/>
      <c r="N413" s="11"/>
    </row>
    <row r="414" spans="1:22">
      <c r="A414" s="8" t="s">
        <v>255</v>
      </c>
      <c r="B414" s="10"/>
      <c r="C414" s="10"/>
      <c r="D414" s="10"/>
      <c r="E414" s="10"/>
      <c r="F414" s="10"/>
      <c r="G414" s="10"/>
      <c r="H414" s="10"/>
      <c r="I414" s="10"/>
      <c r="J414" s="10"/>
      <c r="K414" s="10"/>
      <c r="L414" s="90"/>
      <c r="M414" s="90"/>
      <c r="N414" s="90"/>
      <c r="O414" s="90"/>
      <c r="P414" s="90"/>
      <c r="Q414" s="90"/>
      <c r="R414" s="90"/>
      <c r="S414" s="90"/>
      <c r="T414" s="90"/>
      <c r="U414" s="90"/>
      <c r="V414" s="90"/>
    </row>
    <row r="417" spans="1:20">
      <c r="A417" s="8" t="s">
        <v>555</v>
      </c>
    </row>
    <row r="418" spans="1:20">
      <c r="B418" s="8">
        <v>2000</v>
      </c>
      <c r="C418" s="8">
        <v>2001</v>
      </c>
      <c r="D418" s="8">
        <v>2002</v>
      </c>
      <c r="E418" s="8">
        <v>2003</v>
      </c>
      <c r="F418" s="8">
        <v>2004</v>
      </c>
      <c r="G418" s="8">
        <v>2005</v>
      </c>
      <c r="H418" s="8">
        <v>2006</v>
      </c>
      <c r="I418" s="8">
        <v>2007</v>
      </c>
      <c r="J418" s="8">
        <v>2008</v>
      </c>
      <c r="K418" s="8">
        <v>2009</v>
      </c>
      <c r="L418" s="8">
        <v>2010</v>
      </c>
      <c r="M418" s="8">
        <v>2011</v>
      </c>
      <c r="N418" s="8">
        <v>2012</v>
      </c>
    </row>
    <row r="419" spans="1:20">
      <c r="A419" s="8" t="s">
        <v>16</v>
      </c>
      <c r="B419" s="10">
        <v>40.630927733907399</v>
      </c>
      <c r="C419" s="10">
        <v>38.94811727980921</v>
      </c>
      <c r="D419" s="10">
        <v>40.747119848511375</v>
      </c>
      <c r="E419" s="10">
        <v>37.550325566642542</v>
      </c>
      <c r="F419" s="10">
        <v>34.793801655499905</v>
      </c>
      <c r="G419" s="10">
        <v>32.436582806001383</v>
      </c>
      <c r="H419" s="10">
        <v>30.81748700214834</v>
      </c>
      <c r="I419" s="10">
        <v>28.132439513012823</v>
      </c>
      <c r="J419" s="10">
        <v>26.663712657739147</v>
      </c>
      <c r="K419" s="10">
        <v>25.866351218508019</v>
      </c>
      <c r="L419" s="10">
        <v>24.754120256212104</v>
      </c>
      <c r="M419" s="10">
        <v>23.724465274894424</v>
      </c>
      <c r="N419" s="10">
        <v>23.581019168849544</v>
      </c>
    </row>
    <row r="420" spans="1:20">
      <c r="A420" s="8">
        <f>A2</f>
        <v>0</v>
      </c>
      <c r="B420" s="411"/>
      <c r="C420" s="411"/>
      <c r="D420" s="411"/>
      <c r="E420" s="411"/>
      <c r="F420" s="411"/>
      <c r="G420" s="411"/>
      <c r="H420" s="411"/>
      <c r="I420" s="411"/>
      <c r="J420" s="411"/>
      <c r="K420" s="411"/>
      <c r="L420" s="411"/>
      <c r="M420" s="411"/>
      <c r="N420" s="411"/>
    </row>
    <row r="421" spans="1:20">
      <c r="A421" s="8">
        <f>A3</f>
        <v>0</v>
      </c>
      <c r="B421" s="11"/>
      <c r="C421" s="11"/>
      <c r="D421" s="11"/>
      <c r="E421" s="11"/>
      <c r="F421" s="11"/>
      <c r="G421" s="11"/>
      <c r="H421" s="11"/>
      <c r="I421" s="11"/>
      <c r="J421" s="11"/>
      <c r="K421" s="11"/>
      <c r="L421" s="11"/>
      <c r="M421" s="11"/>
      <c r="N421" s="11"/>
    </row>
    <row r="422" spans="1:20">
      <c r="A422" s="8" t="s">
        <v>255</v>
      </c>
      <c r="B422" s="10"/>
      <c r="C422" s="10"/>
      <c r="D422" s="10"/>
      <c r="E422" s="10"/>
      <c r="F422" s="10"/>
      <c r="G422" s="10"/>
      <c r="H422" s="10"/>
      <c r="I422" s="10"/>
      <c r="J422" s="10"/>
      <c r="K422" s="10"/>
      <c r="L422" s="90"/>
      <c r="M422" s="90"/>
      <c r="N422" s="90"/>
      <c r="O422" s="90"/>
      <c r="P422" s="90"/>
      <c r="Q422" s="90"/>
      <c r="R422" s="90"/>
      <c r="S422" s="90"/>
      <c r="T422" s="90"/>
    </row>
    <row r="423" spans="1:20">
      <c r="B423" s="10"/>
      <c r="C423" s="10"/>
      <c r="D423" s="10"/>
      <c r="E423" s="10"/>
      <c r="F423" s="10"/>
      <c r="G423" s="10"/>
      <c r="H423" s="10"/>
      <c r="I423" s="10"/>
      <c r="J423" s="10"/>
      <c r="K423" s="10"/>
      <c r="L423" s="90"/>
      <c r="M423" s="90"/>
      <c r="N423" s="90"/>
      <c r="O423" s="90"/>
      <c r="P423" s="90"/>
      <c r="Q423" s="90"/>
      <c r="R423" s="90"/>
      <c r="S423" s="90"/>
      <c r="T423" s="90"/>
    </row>
    <row r="424" spans="1:20">
      <c r="A424" s="8" t="s">
        <v>442</v>
      </c>
    </row>
    <row r="425" spans="1:20">
      <c r="B425" s="8">
        <v>2000</v>
      </c>
      <c r="C425" s="8">
        <v>2001</v>
      </c>
      <c r="D425" s="8">
        <v>2002</v>
      </c>
      <c r="E425" s="8">
        <v>2003</v>
      </c>
      <c r="F425" s="8">
        <v>2004</v>
      </c>
      <c r="G425" s="8">
        <v>2005</v>
      </c>
      <c r="H425" s="8">
        <v>2006</v>
      </c>
      <c r="I425" s="8">
        <v>2007</v>
      </c>
      <c r="J425" s="8">
        <v>2008</v>
      </c>
      <c r="K425" s="8">
        <v>2009</v>
      </c>
      <c r="L425" s="8">
        <v>2010</v>
      </c>
      <c r="M425" s="8">
        <v>2011</v>
      </c>
      <c r="N425" s="8">
        <v>2012</v>
      </c>
    </row>
    <row r="426" spans="1:20">
      <c r="A426" s="8" t="s">
        <v>16</v>
      </c>
      <c r="B426" s="10">
        <v>44.302397107453245</v>
      </c>
      <c r="C426" s="10">
        <v>43.059645000974719</v>
      </c>
      <c r="D426" s="10">
        <v>44.403783508587921</v>
      </c>
      <c r="E426" s="10">
        <v>40.922928985619258</v>
      </c>
      <c r="F426" s="10">
        <v>37.518014105210888</v>
      </c>
      <c r="G426" s="10">
        <v>34.896323672301122</v>
      </c>
      <c r="H426" s="10">
        <v>33.313234248839976</v>
      </c>
      <c r="I426" s="10">
        <v>30.573972520695477</v>
      </c>
      <c r="J426" s="10">
        <v>28.893153357751679</v>
      </c>
      <c r="K426" s="10">
        <v>27.875195103989991</v>
      </c>
      <c r="L426" s="10">
        <v>26.652930283897447</v>
      </c>
      <c r="M426" s="10">
        <v>25.446803710713446</v>
      </c>
      <c r="N426" s="10">
        <v>25.580257758832548</v>
      </c>
    </row>
    <row r="427" spans="1:20">
      <c r="A427" s="8">
        <f>A2</f>
        <v>0</v>
      </c>
      <c r="B427" s="411"/>
      <c r="C427" s="411"/>
      <c r="D427" s="411"/>
      <c r="E427" s="411"/>
      <c r="F427" s="411"/>
      <c r="G427" s="411"/>
      <c r="H427" s="411"/>
      <c r="I427" s="411"/>
      <c r="J427" s="411"/>
      <c r="K427" s="411"/>
      <c r="L427" s="411"/>
      <c r="M427" s="411"/>
      <c r="N427" s="411"/>
    </row>
    <row r="428" spans="1:20">
      <c r="A428" s="8">
        <f>A3</f>
        <v>0</v>
      </c>
      <c r="B428" s="11"/>
      <c r="C428" s="11"/>
      <c r="D428" s="11"/>
      <c r="E428" s="11"/>
      <c r="F428" s="11"/>
      <c r="G428" s="11"/>
      <c r="H428" s="11"/>
      <c r="I428" s="11"/>
      <c r="J428" s="11"/>
      <c r="K428" s="11"/>
      <c r="L428" s="11"/>
      <c r="M428" s="11"/>
      <c r="N428" s="11"/>
    </row>
    <row r="429" spans="1:20">
      <c r="A429" s="8" t="s">
        <v>255</v>
      </c>
      <c r="B429" s="10"/>
      <c r="C429" s="10"/>
      <c r="D429" s="10"/>
      <c r="E429" s="10"/>
      <c r="F429" s="10"/>
      <c r="G429" s="10"/>
      <c r="H429" s="10"/>
      <c r="I429" s="10"/>
      <c r="J429" s="10"/>
      <c r="K429" s="10"/>
      <c r="L429" s="90"/>
      <c r="M429" s="90"/>
      <c r="N429" s="90"/>
      <c r="O429" s="90"/>
      <c r="P429" s="90"/>
      <c r="Q429" s="90"/>
      <c r="R429" s="90"/>
      <c r="S429" s="90"/>
      <c r="T429" s="90"/>
    </row>
    <row r="430" spans="1:20">
      <c r="B430" s="10"/>
      <c r="C430" s="10"/>
      <c r="D430" s="10"/>
      <c r="E430" s="10"/>
      <c r="F430" s="10"/>
      <c r="G430" s="10"/>
      <c r="H430" s="10"/>
      <c r="I430" s="10"/>
      <c r="J430" s="10"/>
      <c r="K430" s="10"/>
      <c r="L430" s="90"/>
      <c r="M430" s="90"/>
      <c r="N430" s="90"/>
      <c r="O430" s="90"/>
      <c r="P430" s="90"/>
      <c r="Q430" s="90"/>
      <c r="R430" s="90"/>
      <c r="S430" s="90"/>
      <c r="T430" s="90"/>
    </row>
    <row r="432" spans="1:20">
      <c r="A432" s="330" t="s">
        <v>191</v>
      </c>
    </row>
    <row r="433" spans="1:54">
      <c r="C433" s="331"/>
      <c r="D433" s="331"/>
      <c r="E433" s="331"/>
      <c r="F433" s="331"/>
      <c r="G433" s="331"/>
      <c r="H433" s="331"/>
      <c r="I433" s="331"/>
      <c r="J433" s="331"/>
      <c r="K433" s="331"/>
      <c r="L433" s="331"/>
      <c r="M433" s="331"/>
      <c r="N433" s="331"/>
      <c r="O433" s="331"/>
      <c r="P433" s="331"/>
      <c r="Q433" s="331"/>
      <c r="R433" s="331"/>
      <c r="S433" s="331"/>
      <c r="T433" s="331"/>
      <c r="U433" s="331"/>
      <c r="V433" s="331"/>
      <c r="W433" s="331"/>
      <c r="X433" s="331"/>
    </row>
    <row r="434" spans="1:54" ht="25.5" customHeight="1">
      <c r="A434" s="331" t="s">
        <v>102</v>
      </c>
      <c r="B434" s="332" t="s">
        <v>166</v>
      </c>
      <c r="C434" s="334" t="s">
        <v>205</v>
      </c>
      <c r="D434" s="332" t="s">
        <v>206</v>
      </c>
      <c r="E434" s="332" t="s">
        <v>207</v>
      </c>
      <c r="F434" s="332" t="s">
        <v>208</v>
      </c>
      <c r="G434" s="333" t="s">
        <v>209</v>
      </c>
      <c r="H434" s="332"/>
      <c r="I434" s="333"/>
      <c r="J434" s="335" t="s">
        <v>213</v>
      </c>
      <c r="K434" s="335" t="s">
        <v>214</v>
      </c>
      <c r="L434" s="346" t="s">
        <v>468</v>
      </c>
      <c r="M434" s="346" t="s">
        <v>222</v>
      </c>
      <c r="N434" s="346" t="s">
        <v>476</v>
      </c>
      <c r="O434" s="346" t="s">
        <v>223</v>
      </c>
      <c r="P434" s="346"/>
      <c r="Q434" s="346"/>
      <c r="R434" s="353" t="s">
        <v>230</v>
      </c>
      <c r="S434" s="353" t="s">
        <v>231</v>
      </c>
      <c r="T434" s="353" t="s">
        <v>341</v>
      </c>
      <c r="U434" s="353" t="s">
        <v>345</v>
      </c>
      <c r="V434" s="353" t="s">
        <v>340</v>
      </c>
      <c r="W434" s="353"/>
      <c r="X434" s="353"/>
      <c r="Y434" s="354" t="s">
        <v>233</v>
      </c>
      <c r="Z434" s="354" t="s">
        <v>234</v>
      </c>
      <c r="AA434" s="354" t="s">
        <v>227</v>
      </c>
      <c r="AB434" s="354" t="s">
        <v>39</v>
      </c>
      <c r="AC434" s="354" t="s">
        <v>228</v>
      </c>
      <c r="AD434" s="354" t="s">
        <v>229</v>
      </c>
      <c r="AE434" s="354" t="s">
        <v>235</v>
      </c>
      <c r="AF434" s="373" t="s">
        <v>236</v>
      </c>
      <c r="AG434" s="354" t="s">
        <v>237</v>
      </c>
      <c r="AH434" s="354" t="s">
        <v>238</v>
      </c>
      <c r="AI434" s="354" t="s">
        <v>239</v>
      </c>
      <c r="AJ434" s="354" t="s">
        <v>240</v>
      </c>
      <c r="AK434" s="354" t="s">
        <v>241</v>
      </c>
      <c r="AL434" s="374" t="s">
        <v>242</v>
      </c>
      <c r="AM434" s="354" t="s">
        <v>243</v>
      </c>
      <c r="AN434" s="354" t="s">
        <v>244</v>
      </c>
      <c r="AO434" s="354" t="s">
        <v>245</v>
      </c>
      <c r="AP434" s="354" t="s">
        <v>246</v>
      </c>
      <c r="AQ434" s="354" t="s">
        <v>247</v>
      </c>
      <c r="AR434" s="354" t="s">
        <v>397</v>
      </c>
      <c r="AS434" s="354" t="s">
        <v>412</v>
      </c>
      <c r="AT434" s="374" t="s">
        <v>403</v>
      </c>
      <c r="AU434" s="354" t="s">
        <v>411</v>
      </c>
      <c r="AV434" s="354" t="s">
        <v>408</v>
      </c>
      <c r="AW434" s="354"/>
      <c r="AX434" s="354"/>
      <c r="AY434" s="354"/>
      <c r="AZ434" s="354" t="s">
        <v>248</v>
      </c>
      <c r="BA434" s="354" t="s">
        <v>254</v>
      </c>
      <c r="BB434" s="354" t="s">
        <v>249</v>
      </c>
    </row>
    <row r="435" spans="1:54">
      <c r="A435" s="8" t="s">
        <v>192</v>
      </c>
      <c r="C435" s="90">
        <v>68.730672681631319</v>
      </c>
      <c r="D435" s="90">
        <v>5.163014593108894</v>
      </c>
      <c r="E435" s="109">
        <v>0.99680196804155274</v>
      </c>
      <c r="F435" s="90">
        <v>75.070330987640787</v>
      </c>
      <c r="G435" s="90">
        <v>81.348212923032975</v>
      </c>
      <c r="H435" s="90"/>
      <c r="I435" s="90"/>
      <c r="J435" s="10">
        <v>46.440292584568525</v>
      </c>
      <c r="K435" s="10">
        <v>49.919794674366379</v>
      </c>
      <c r="L435" s="10">
        <v>18.010670472695143</v>
      </c>
      <c r="M435" s="10">
        <v>19.867095978625745</v>
      </c>
      <c r="N435" s="10">
        <v>13.703381020324844</v>
      </c>
      <c r="O435" s="10">
        <v>62.027965279246153</v>
      </c>
      <c r="P435" s="10"/>
      <c r="Q435" s="10"/>
      <c r="R435" s="10">
        <v>2.0610801865503232</v>
      </c>
      <c r="S435" s="10">
        <v>18.138907619689817</v>
      </c>
      <c r="T435" s="10">
        <v>1.9789695710164708</v>
      </c>
      <c r="U435" s="10">
        <v>0.88811959087332815</v>
      </c>
      <c r="V435" s="10">
        <v>0.38403684064571969</v>
      </c>
      <c r="W435" s="10"/>
      <c r="X435" s="10"/>
      <c r="Y435" s="10">
        <v>6.2331288343558287</v>
      </c>
      <c r="Z435" s="10">
        <v>6.3819421890224106</v>
      </c>
      <c r="AA435" s="10">
        <v>6.3316942996219518</v>
      </c>
      <c r="AB435" s="10">
        <v>0.70126227208976155</v>
      </c>
      <c r="AC435" s="10">
        <v>0.39432176656151419</v>
      </c>
      <c r="AD435" s="10">
        <v>1.1398176291793312</v>
      </c>
      <c r="AE435" s="10">
        <v>14.020923084074463</v>
      </c>
      <c r="AF435" s="10">
        <v>2.6044361754265881</v>
      </c>
      <c r="AG435" s="10">
        <v>8.3351340923644202</v>
      </c>
      <c r="AH435" s="10">
        <v>3.0153641832806888</v>
      </c>
      <c r="AI435" s="10">
        <v>7.0831404616562628</v>
      </c>
      <c r="AJ435" s="10">
        <v>9.566846164440685</v>
      </c>
      <c r="AK435" s="10">
        <v>2.6067900209423636</v>
      </c>
      <c r="AL435" s="10">
        <v>17.1500742822669</v>
      </c>
      <c r="AM435" s="10">
        <v>8.7169156007905606</v>
      </c>
      <c r="AN435" s="10">
        <v>7.8898638437711552</v>
      </c>
      <c r="AO435" s="10">
        <v>0.6218201446489785</v>
      </c>
      <c r="AP435" s="10">
        <v>3.2525829626118887</v>
      </c>
      <c r="AQ435" s="10">
        <v>0.61653464548161896</v>
      </c>
      <c r="AR435" s="10">
        <v>13.637718951094824</v>
      </c>
      <c r="AS435" s="10">
        <v>10.633799380892231</v>
      </c>
      <c r="AT435" s="10">
        <v>4.6731807005779604</v>
      </c>
      <c r="AU435" s="10">
        <v>4.8728846543054187</v>
      </c>
      <c r="AV435" s="10">
        <v>1.795121951219512</v>
      </c>
      <c r="AW435" s="10"/>
      <c r="AX435" s="10"/>
      <c r="AY435" s="10"/>
      <c r="AZ435" s="10">
        <v>0</v>
      </c>
      <c r="BA435" s="10">
        <v>0</v>
      </c>
      <c r="BB435" s="10">
        <v>6.5351311350946153</v>
      </c>
    </row>
    <row r="436" spans="1:54">
      <c r="A436" s="8" t="s">
        <v>193</v>
      </c>
      <c r="C436" s="90">
        <v>299.53298307063631</v>
      </c>
      <c r="D436" s="90">
        <v>11.116019052817267</v>
      </c>
      <c r="E436" s="109">
        <v>1.6472076125960957</v>
      </c>
      <c r="F436" s="90">
        <v>79.215753121226172</v>
      </c>
      <c r="G436" s="90">
        <v>85.424412377783284</v>
      </c>
      <c r="H436" s="90"/>
      <c r="I436" s="90"/>
      <c r="J436" s="10">
        <v>130.97137037286663</v>
      </c>
      <c r="K436" s="10">
        <v>128.47567854535802</v>
      </c>
      <c r="L436" s="10">
        <v>55.96041669960006</v>
      </c>
      <c r="M436" s="10">
        <v>77.141690922061031</v>
      </c>
      <c r="N436" s="10">
        <v>25.057691731351333</v>
      </c>
      <c r="O436" s="10">
        <v>100</v>
      </c>
      <c r="P436" s="10"/>
      <c r="Q436" s="10"/>
      <c r="R436" s="10">
        <v>7.2761784245491929</v>
      </c>
      <c r="S436" s="10">
        <v>34.295507847735884</v>
      </c>
      <c r="T436" s="10">
        <v>14.229366165070678</v>
      </c>
      <c r="U436" s="10">
        <v>8.6239409311837676</v>
      </c>
      <c r="V436" s="10">
        <v>2.5139775566041478</v>
      </c>
      <c r="W436" s="10"/>
      <c r="X436" s="10"/>
      <c r="Y436" s="10">
        <v>9.3484419263456093</v>
      </c>
      <c r="Z436" s="10">
        <v>10.368271954674221</v>
      </c>
      <c r="AA436" s="10">
        <v>17.147357315859075</v>
      </c>
      <c r="AB436" s="10">
        <v>7.8657577346617717</v>
      </c>
      <c r="AC436" s="10">
        <v>4.7194546407970632</v>
      </c>
      <c r="AD436" s="10">
        <v>7.5519194461925743</v>
      </c>
      <c r="AE436" s="10">
        <v>53.26985938872317</v>
      </c>
      <c r="AF436" s="10">
        <v>12.8445770982682</v>
      </c>
      <c r="AG436" s="10">
        <v>32.66872274305463</v>
      </c>
      <c r="AH436" s="10">
        <v>15.061582315106245</v>
      </c>
      <c r="AI436" s="10">
        <v>23.238311987824915</v>
      </c>
      <c r="AJ436" s="10">
        <v>64.460287586107285</v>
      </c>
      <c r="AK436" s="10">
        <v>17.332581730909734</v>
      </c>
      <c r="AL436" s="10">
        <v>43.670623215950776</v>
      </c>
      <c r="AM436" s="10">
        <v>22.936421229108053</v>
      </c>
      <c r="AN436" s="10">
        <v>49.199616496617857</v>
      </c>
      <c r="AO436" s="10">
        <v>12.74538808498313</v>
      </c>
      <c r="AP436" s="10">
        <v>30.270050623064385</v>
      </c>
      <c r="AQ436" s="10">
        <v>11.34792518490455</v>
      </c>
      <c r="AR436" s="10">
        <v>29.138620924966656</v>
      </c>
      <c r="AS436" s="10">
        <v>30.816712267205943</v>
      </c>
      <c r="AT436" s="10">
        <v>11.737205242011822</v>
      </c>
      <c r="AU436" s="10">
        <v>9.1201528175740201</v>
      </c>
      <c r="AV436" s="10">
        <v>9.3445052439580483</v>
      </c>
      <c r="AW436" s="10"/>
      <c r="AX436" s="10"/>
      <c r="AY436" s="10"/>
      <c r="AZ436" s="10">
        <v>7.96883048874545</v>
      </c>
      <c r="BA436" s="10">
        <v>25.044895821771412</v>
      </c>
      <c r="BB436" s="10">
        <v>47.818562710629379</v>
      </c>
    </row>
    <row r="437" spans="1:54">
      <c r="A437" s="8" t="s">
        <v>194</v>
      </c>
      <c r="C437" s="90">
        <v>132.27004175189086</v>
      </c>
      <c r="D437" s="90">
        <v>8.0637600322202143</v>
      </c>
      <c r="E437" s="109">
        <v>1.2131566159711458</v>
      </c>
      <c r="F437" s="90">
        <v>77.134458583596597</v>
      </c>
      <c r="G437" s="90">
        <v>83.65309645155159</v>
      </c>
      <c r="H437" s="90"/>
      <c r="I437" s="90"/>
      <c r="J437" s="10">
        <v>71.767180708578337</v>
      </c>
      <c r="K437" s="10">
        <v>68.110292859414557</v>
      </c>
      <c r="L437" s="10">
        <v>35.855520754747957</v>
      </c>
      <c r="M437" s="10">
        <v>32.455006561514864</v>
      </c>
      <c r="N437" s="10">
        <v>19.415377426444987</v>
      </c>
      <c r="O437" s="10">
        <v>96.454615111665333</v>
      </c>
      <c r="P437" s="10"/>
      <c r="Q437" s="10"/>
      <c r="R437" s="10">
        <v>3.7196536965404943</v>
      </c>
      <c r="S437" s="10">
        <v>22.133341094419805</v>
      </c>
      <c r="T437" s="10">
        <v>5.8654871029631215</v>
      </c>
      <c r="U437" s="10">
        <v>3.5676183932155583</v>
      </c>
      <c r="V437" s="10">
        <v>1.0066584044130154</v>
      </c>
      <c r="W437" s="10"/>
      <c r="X437" s="10"/>
      <c r="Y437" s="10">
        <v>7.5201833448522661</v>
      </c>
      <c r="Z437" s="10">
        <v>8.3433587295849314</v>
      </c>
      <c r="AA437" s="10">
        <v>9.4460501283001133</v>
      </c>
      <c r="AB437" s="10">
        <v>2.7862134830667755</v>
      </c>
      <c r="AC437" s="10">
        <v>1.8810748160207003</v>
      </c>
      <c r="AD437" s="10">
        <v>3.7762712859536296</v>
      </c>
      <c r="AE437" s="10">
        <v>33.783896729640595</v>
      </c>
      <c r="AF437" s="10">
        <v>5.8856862262896685</v>
      </c>
      <c r="AG437" s="10">
        <v>14.059943907997546</v>
      </c>
      <c r="AH437" s="10">
        <v>5.9154536095628014</v>
      </c>
      <c r="AI437" s="10">
        <v>14.825752342757161</v>
      </c>
      <c r="AJ437" s="10">
        <v>21.742844457450651</v>
      </c>
      <c r="AK437" s="10">
        <v>6.9517143641366053</v>
      </c>
      <c r="AL437" s="10">
        <v>26.501617447301619</v>
      </c>
      <c r="AM437" s="10">
        <v>14.025159583004511</v>
      </c>
      <c r="AN437" s="10">
        <v>14.696240544214524</v>
      </c>
      <c r="AO437" s="10">
        <v>3.0060325193999566</v>
      </c>
      <c r="AP437" s="10">
        <v>12.928520997677868</v>
      </c>
      <c r="AQ437" s="10">
        <v>3.0593929128122168</v>
      </c>
      <c r="AR437" s="10">
        <v>19.572254593351641</v>
      </c>
      <c r="AS437" s="10">
        <v>16.957827479585436</v>
      </c>
      <c r="AT437" s="10">
        <v>7.7183781951802501</v>
      </c>
      <c r="AU437" s="10">
        <v>7.1646239367758353</v>
      </c>
      <c r="AV437" s="10">
        <v>5.1175612819448437</v>
      </c>
      <c r="AW437" s="10"/>
      <c r="AX437" s="10"/>
      <c r="AY437" s="10"/>
      <c r="AZ437" s="10">
        <v>1.6416754018539801</v>
      </c>
      <c r="BA437" s="10">
        <v>5.0630921864338614</v>
      </c>
      <c r="BB437" s="10">
        <v>20.391179612313174</v>
      </c>
    </row>
    <row r="438" spans="1:54" ht="15">
      <c r="A438" s="8" t="s">
        <v>195</v>
      </c>
      <c r="C438" s="90">
        <v>107.13336161049625</v>
      </c>
      <c r="D438" s="344">
        <v>7.2074619525089014</v>
      </c>
      <c r="E438" s="109">
        <v>1.1243241654723723</v>
      </c>
      <c r="F438" s="344">
        <v>76.792186029155175</v>
      </c>
      <c r="G438" s="344">
        <v>83.127442468840769</v>
      </c>
      <c r="H438" s="344"/>
      <c r="I438" s="344"/>
      <c r="J438" s="275">
        <v>65.498915049008488</v>
      </c>
      <c r="K438" s="275">
        <v>61.871906345895901</v>
      </c>
      <c r="L438" s="10">
        <v>30.754480597579274</v>
      </c>
      <c r="M438" s="10">
        <v>29.419882349590452</v>
      </c>
      <c r="N438" s="10">
        <v>17.156252272634841</v>
      </c>
      <c r="O438" s="10">
        <v>93.12027142922463</v>
      </c>
      <c r="P438" s="10"/>
      <c r="Q438" s="10"/>
      <c r="R438" s="10">
        <v>2.7544827682857251</v>
      </c>
      <c r="S438" s="10">
        <v>20.717614085166343</v>
      </c>
      <c r="T438" s="10">
        <v>4.7174635083571932</v>
      </c>
      <c r="U438" s="10">
        <v>2.6318290069798529</v>
      </c>
      <c r="V438" s="10">
        <v>0.68305870603174412</v>
      </c>
      <c r="W438" s="10"/>
      <c r="X438" s="10"/>
      <c r="Y438" s="10">
        <v>7.1658166914656407</v>
      </c>
      <c r="Z438" s="10">
        <v>7.8468826453128013</v>
      </c>
      <c r="AA438" s="10">
        <v>7.896032386463478</v>
      </c>
      <c r="AB438" s="10">
        <v>2.2590539147615476</v>
      </c>
      <c r="AC438" s="10">
        <v>1.5437827470749543</v>
      </c>
      <c r="AD438" s="10">
        <v>2.8277419367670431</v>
      </c>
      <c r="AE438" s="10">
        <v>24.942295012275551</v>
      </c>
      <c r="AF438" s="10">
        <v>4.6906123563936424</v>
      </c>
      <c r="AG438" s="10">
        <v>10.840345270993669</v>
      </c>
      <c r="AH438" s="10">
        <v>4.4384406724488619</v>
      </c>
      <c r="AI438" s="10">
        <v>12.33420129500594</v>
      </c>
      <c r="AJ438" s="10">
        <v>16.287786355836555</v>
      </c>
      <c r="AK438" s="10">
        <v>5.0948176527577376</v>
      </c>
      <c r="AL438" s="10">
        <v>24.309740535304758</v>
      </c>
      <c r="AM438" s="10">
        <v>12.114568812355499</v>
      </c>
      <c r="AN438" s="10">
        <v>11.902028107217149</v>
      </c>
      <c r="AO438" s="10">
        <v>1.7499249567939756</v>
      </c>
      <c r="AP438" s="10">
        <v>8.0418305290635335</v>
      </c>
      <c r="AQ438" s="10">
        <v>1.828887153318657</v>
      </c>
      <c r="AR438" s="10">
        <v>17.72177370599524</v>
      </c>
      <c r="AS438" s="10">
        <v>13.832016615369319</v>
      </c>
      <c r="AT438" s="10">
        <v>6.3942083470308146</v>
      </c>
      <c r="AU438" s="10">
        <v>6.2134364028388678</v>
      </c>
      <c r="AV438" s="10">
        <v>4.1659510790607372</v>
      </c>
      <c r="AW438" s="10"/>
      <c r="AX438" s="10"/>
      <c r="AY438" s="10"/>
      <c r="AZ438" s="10">
        <v>0.55028604394305469</v>
      </c>
      <c r="BA438" s="10">
        <v>2.9820914345550271</v>
      </c>
      <c r="BB438" s="10">
        <v>12.731948947956413</v>
      </c>
    </row>
    <row r="439" spans="1:54">
      <c r="A439" s="8" t="s">
        <v>196</v>
      </c>
      <c r="C439" s="90">
        <v>179.63844352670378</v>
      </c>
      <c r="D439" s="90">
        <v>9.1022291180517421</v>
      </c>
      <c r="E439" s="109">
        <v>1.3746179338301228</v>
      </c>
      <c r="F439" s="90">
        <v>77.656202090678562</v>
      </c>
      <c r="G439" s="90">
        <v>84.103292584989561</v>
      </c>
      <c r="H439" s="90"/>
      <c r="I439" s="90"/>
      <c r="J439" s="10">
        <v>91.947555313664097</v>
      </c>
      <c r="K439" s="10">
        <v>84.630052730851276</v>
      </c>
      <c r="L439" s="10">
        <v>43.052776514811853</v>
      </c>
      <c r="M439" s="10">
        <v>37.946642917090159</v>
      </c>
      <c r="N439" s="10">
        <v>21.611865053760901</v>
      </c>
      <c r="O439" s="10">
        <v>99.196579334860985</v>
      </c>
      <c r="P439" s="10"/>
      <c r="Q439" s="10"/>
      <c r="R439" s="10">
        <v>4.2760640086666104</v>
      </c>
      <c r="S439" s="10">
        <v>24.268115322104428</v>
      </c>
      <c r="T439" s="10">
        <v>8.101701435402898</v>
      </c>
      <c r="U439" s="10">
        <v>4.8708127542915394</v>
      </c>
      <c r="V439" s="10">
        <v>1.378460269436828</v>
      </c>
      <c r="W439" s="10"/>
      <c r="X439" s="10"/>
      <c r="Y439" s="10">
        <v>8.1291446712495965</v>
      </c>
      <c r="Z439" s="10">
        <v>8.9788103549685658</v>
      </c>
      <c r="AA439" s="10">
        <v>12.765046947414366</v>
      </c>
      <c r="AB439" s="10">
        <v>3.5104429344731534</v>
      </c>
      <c r="AC439" s="10">
        <v>2.2932502894530575</v>
      </c>
      <c r="AD439" s="10">
        <v>4.3451667507478238</v>
      </c>
      <c r="AE439" s="10">
        <v>38.579061673529012</v>
      </c>
      <c r="AF439" s="10">
        <v>7.6295831747823808</v>
      </c>
      <c r="AG439" s="10">
        <v>16.061128676372679</v>
      </c>
      <c r="AH439" s="10">
        <v>7.6112134336197155</v>
      </c>
      <c r="AI439" s="10">
        <v>17.059421257452673</v>
      </c>
      <c r="AJ439" s="10">
        <v>35.914977999598754</v>
      </c>
      <c r="AK439" s="10">
        <v>10.24695420745703</v>
      </c>
      <c r="AL439" s="10">
        <v>29.077607880956784</v>
      </c>
      <c r="AM439" s="10">
        <v>15.220884258478957</v>
      </c>
      <c r="AN439" s="10">
        <v>18.77371968431013</v>
      </c>
      <c r="AO439" s="10">
        <v>4.4053913011147543</v>
      </c>
      <c r="AP439" s="10">
        <v>16.707355312153975</v>
      </c>
      <c r="AQ439" s="10">
        <v>4.3350848121750714</v>
      </c>
      <c r="AR439" s="10">
        <v>22.496864494692868</v>
      </c>
      <c r="AS439" s="10">
        <v>19.264216644561301</v>
      </c>
      <c r="AT439" s="10">
        <v>8.9637206112301282</v>
      </c>
      <c r="AU439" s="10">
        <v>7.8698956809090976</v>
      </c>
      <c r="AV439" s="10">
        <v>6.0319544684292206</v>
      </c>
      <c r="AW439" s="10"/>
      <c r="AX439" s="10"/>
      <c r="AY439" s="10"/>
      <c r="AZ439" s="10">
        <v>2.7422983871844457</v>
      </c>
      <c r="BA439" s="10">
        <v>7.0567286234628988</v>
      </c>
      <c r="BB439" s="10">
        <v>28.491892455967431</v>
      </c>
    </row>
    <row r="440" spans="1:54">
      <c r="A440" s="8">
        <f>A3</f>
        <v>0</v>
      </c>
      <c r="B440" s="292">
        <f>B11</f>
        <v>0</v>
      </c>
      <c r="C440" s="293">
        <f>W47</f>
        <v>0</v>
      </c>
      <c r="D440" s="293">
        <f>R71</f>
        <v>0</v>
      </c>
      <c r="E440" s="324">
        <f>R77</f>
        <v>0</v>
      </c>
      <c r="F440" s="293">
        <f>P87</f>
        <v>0</v>
      </c>
      <c r="G440" s="293">
        <f>P94</f>
        <v>0</v>
      </c>
      <c r="H440" s="293"/>
      <c r="I440" s="293"/>
      <c r="J440" s="293">
        <f>C128</f>
        <v>0</v>
      </c>
      <c r="K440" s="293">
        <f>D128</f>
        <v>0</v>
      </c>
      <c r="L440" s="293">
        <f>H143</f>
        <v>0</v>
      </c>
      <c r="M440" s="293">
        <f>P161</f>
        <v>0</v>
      </c>
      <c r="N440" s="293">
        <f>C182</f>
        <v>0</v>
      </c>
      <c r="O440" s="293">
        <f>N188</f>
        <v>0</v>
      </c>
      <c r="P440" s="293"/>
      <c r="Q440" s="293"/>
      <c r="R440" s="293">
        <f>P212</f>
        <v>0</v>
      </c>
      <c r="S440" s="293">
        <f>P218</f>
        <v>0</v>
      </c>
      <c r="T440" s="293">
        <f>J229</f>
        <v>0</v>
      </c>
      <c r="U440" s="293">
        <f>J231</f>
        <v>0</v>
      </c>
      <c r="V440" s="293">
        <f>J228</f>
        <v>0</v>
      </c>
      <c r="W440" s="293"/>
      <c r="X440" s="293"/>
      <c r="Y440" s="293">
        <f>L239</f>
        <v>0</v>
      </c>
      <c r="Z440" s="293">
        <f>P245</f>
        <v>0</v>
      </c>
      <c r="AA440" s="293">
        <f>R257</f>
        <v>0</v>
      </c>
      <c r="AB440" s="293">
        <f>P263</f>
        <v>0</v>
      </c>
      <c r="AC440" s="293">
        <f>P269</f>
        <v>0</v>
      </c>
      <c r="AD440" s="293">
        <f>P293</f>
        <v>0</v>
      </c>
      <c r="AE440" s="293">
        <f>I347</f>
        <v>0</v>
      </c>
      <c r="AF440" s="293">
        <f>J347</f>
        <v>0</v>
      </c>
      <c r="AG440" s="293">
        <f>I343</f>
        <v>0</v>
      </c>
      <c r="AH440" s="293">
        <f>J343</f>
        <v>0</v>
      </c>
      <c r="AI440" s="293">
        <f>J349</f>
        <v>0</v>
      </c>
      <c r="AJ440" s="293">
        <f>I359</f>
        <v>0</v>
      </c>
      <c r="AK440" s="293">
        <f>J359</f>
        <v>0</v>
      </c>
      <c r="AL440" s="293">
        <f>I360</f>
        <v>0</v>
      </c>
      <c r="AM440" s="293">
        <f>J360</f>
        <v>0</v>
      </c>
      <c r="AN440" s="293">
        <f>I365</f>
        <v>0</v>
      </c>
      <c r="AO440" s="293">
        <f>J365</f>
        <v>0</v>
      </c>
      <c r="AP440" s="293">
        <f>I367</f>
        <v>0</v>
      </c>
      <c r="AQ440" s="293">
        <f>J367</f>
        <v>0</v>
      </c>
      <c r="AR440" s="293">
        <f>J381</f>
        <v>0</v>
      </c>
      <c r="AS440" s="293">
        <f>J394</f>
        <v>0</v>
      </c>
      <c r="AT440" s="293">
        <f>J387</f>
        <v>0</v>
      </c>
      <c r="AU440" s="293">
        <f>J393</f>
        <v>0</v>
      </c>
      <c r="AV440" s="293">
        <f>J392</f>
        <v>0</v>
      </c>
      <c r="AW440" s="293"/>
      <c r="AX440" s="293"/>
      <c r="AY440" s="293"/>
      <c r="AZ440" s="293">
        <f>N406</f>
        <v>0</v>
      </c>
      <c r="BA440" s="293">
        <f>N413</f>
        <v>0</v>
      </c>
      <c r="BB440" s="293">
        <f>N421</f>
        <v>0</v>
      </c>
    </row>
    <row r="441" spans="1:54">
      <c r="A441" s="8" t="s">
        <v>16</v>
      </c>
      <c r="B441" s="8">
        <f>B9</f>
        <v>9976649</v>
      </c>
      <c r="C441" s="10">
        <f>W45</f>
        <v>133.98202652317022</v>
      </c>
      <c r="D441" s="10">
        <f>R69</f>
        <v>8.527352357854511</v>
      </c>
      <c r="E441" s="102">
        <f>R75</f>
        <v>1.2877062357186866</v>
      </c>
      <c r="F441" s="10">
        <f>P85</f>
        <v>77.325289100626719</v>
      </c>
      <c r="G441" s="10">
        <f>P92</f>
        <v>83.655929725352806</v>
      </c>
      <c r="H441" s="10"/>
      <c r="I441" s="10"/>
      <c r="J441" s="10">
        <f>C126</f>
        <v>79.257726887942965</v>
      </c>
      <c r="K441" s="10">
        <f>D126</f>
        <v>74.803467275284135</v>
      </c>
      <c r="L441" s="10">
        <f>H141</f>
        <v>37.062533469767367</v>
      </c>
      <c r="M441" s="10">
        <f>P159</f>
        <v>37.299297589801945</v>
      </c>
      <c r="N441" s="10">
        <f>C178</f>
        <v>18.812084970163585</v>
      </c>
      <c r="O441" s="10">
        <f>N186</f>
        <v>95.182321477673753</v>
      </c>
      <c r="P441" s="10"/>
      <c r="Q441" s="10"/>
      <c r="R441" s="10">
        <f>P210</f>
        <v>3.7006663249615581</v>
      </c>
      <c r="S441" s="10">
        <f>P216</f>
        <v>23.650142783920334</v>
      </c>
      <c r="T441" s="10">
        <f>D229</f>
        <v>6.7789068298438462</v>
      </c>
      <c r="U441" s="10">
        <f>D231</f>
        <v>3.9241026794677487</v>
      </c>
      <c r="V441" s="10">
        <f>D228</f>
        <v>0.97825492539290915</v>
      </c>
      <c r="W441" s="10"/>
      <c r="X441" s="10"/>
      <c r="Y441" s="10">
        <f>L237</f>
        <v>7.6956871933806834</v>
      </c>
      <c r="Z441" s="10">
        <f>P243</f>
        <v>8.4403602548143795</v>
      </c>
      <c r="AA441" s="10">
        <f>R255</f>
        <v>10.276886047948638</v>
      </c>
      <c r="AB441" s="10">
        <f>P261</f>
        <v>2.9435562113063312</v>
      </c>
      <c r="AC441" s="10">
        <f>P267</f>
        <v>2.050238157128788</v>
      </c>
      <c r="AD441" s="10">
        <f>P291</f>
        <v>3.7837423256867164</v>
      </c>
      <c r="AE441" s="10">
        <f>C347</f>
        <v>33.228092566603358</v>
      </c>
      <c r="AF441" s="10">
        <f>D347</f>
        <v>6.6755188563378187</v>
      </c>
      <c r="AG441" s="10">
        <f>C343</f>
        <v>14.000953119314378</v>
      </c>
      <c r="AH441" s="10">
        <f>D343</f>
        <v>6.0981394210288338</v>
      </c>
      <c r="AI441" s="10">
        <f>D349</f>
        <v>15.347011518209854</v>
      </c>
      <c r="AJ441" s="10">
        <f>C359</f>
        <v>26.765370126739437</v>
      </c>
      <c r="AK441" s="10">
        <f>D359</f>
        <v>8.0885097158697956</v>
      </c>
      <c r="AL441" s="10">
        <f>C360</f>
        <v>26.994411477403094</v>
      </c>
      <c r="AM441" s="10">
        <f>D360</f>
        <v>14.194377084394555</v>
      </c>
      <c r="AN441" s="10">
        <f>C365</f>
        <v>15.769363344260206</v>
      </c>
      <c r="AO441" s="10">
        <f>D365</f>
        <v>3.6115602820940511</v>
      </c>
      <c r="AP441" s="10">
        <f>C367</f>
        <v>12.945922208158889</v>
      </c>
      <c r="AQ441" s="10">
        <f>D367</f>
        <v>3.2583734608994184</v>
      </c>
      <c r="AR441" s="10">
        <f>D381</f>
        <v>19.604573724483775</v>
      </c>
      <c r="AS441" s="10">
        <f>D394</f>
        <v>16.646156843855412</v>
      </c>
      <c r="AT441" s="10">
        <f>D387</f>
        <v>7.6372013897529758</v>
      </c>
      <c r="AU441" s="10">
        <f>D393</f>
        <v>6.9061522377659124</v>
      </c>
      <c r="AV441" s="10">
        <f>D392</f>
        <v>5.1104281302880299</v>
      </c>
      <c r="AW441" s="10"/>
      <c r="AX441" s="10"/>
      <c r="AY441" s="10"/>
      <c r="AZ441" s="10">
        <f>N404</f>
        <v>2.3591015361799461</v>
      </c>
      <c r="BA441" s="10">
        <f>N411</f>
        <v>7.3871865899872038</v>
      </c>
      <c r="BB441" s="10">
        <f>N419</f>
        <v>23.581019168849544</v>
      </c>
    </row>
    <row r="442" spans="1:54">
      <c r="A442" s="8" t="s">
        <v>17</v>
      </c>
      <c r="B442" s="8">
        <f>B10</f>
        <v>0</v>
      </c>
      <c r="C442" s="10">
        <f>W46</f>
        <v>0</v>
      </c>
      <c r="D442" s="10">
        <f>R70</f>
        <v>0</v>
      </c>
      <c r="E442" s="102">
        <f>R76</f>
        <v>0</v>
      </c>
      <c r="F442" s="10">
        <f>P86</f>
        <v>0</v>
      </c>
      <c r="G442" s="10">
        <f>P93</f>
        <v>0</v>
      </c>
      <c r="H442" s="10"/>
      <c r="I442" s="10"/>
      <c r="J442" s="10">
        <f>C127</f>
        <v>0</v>
      </c>
      <c r="K442" s="10">
        <f>D127</f>
        <v>0</v>
      </c>
      <c r="L442" s="10">
        <f>H142</f>
        <v>0</v>
      </c>
      <c r="M442" s="10">
        <f>P160</f>
        <v>0</v>
      </c>
      <c r="N442" s="10">
        <f>C180</f>
        <v>0</v>
      </c>
      <c r="O442" s="10">
        <f>N187</f>
        <v>0</v>
      </c>
      <c r="P442" s="10"/>
      <c r="Q442" s="10"/>
      <c r="R442" s="10">
        <f>P211</f>
        <v>0</v>
      </c>
      <c r="S442" s="10">
        <f>P217</f>
        <v>0</v>
      </c>
      <c r="T442" s="10">
        <f>G229</f>
        <v>0</v>
      </c>
      <c r="U442" s="10">
        <f>G231</f>
        <v>0</v>
      </c>
      <c r="V442" s="10">
        <f>G228</f>
        <v>0</v>
      </c>
      <c r="W442" s="10"/>
      <c r="X442" s="10"/>
      <c r="Y442" s="10">
        <f>L238</f>
        <v>0</v>
      </c>
      <c r="Z442" s="10">
        <f>P244</f>
        <v>0</v>
      </c>
      <c r="AA442" s="10">
        <f>R256</f>
        <v>0</v>
      </c>
      <c r="AB442" s="10">
        <f>P262</f>
        <v>0</v>
      </c>
      <c r="AC442" s="10">
        <f>P268</f>
        <v>0</v>
      </c>
      <c r="AD442" s="10">
        <f>P292</f>
        <v>0</v>
      </c>
      <c r="AE442" s="10">
        <f>F347</f>
        <v>0</v>
      </c>
      <c r="AF442" s="10">
        <f>G347</f>
        <v>0</v>
      </c>
      <c r="AG442" s="10">
        <f>F343</f>
        <v>0</v>
      </c>
      <c r="AH442" s="10">
        <f>G343</f>
        <v>0</v>
      </c>
      <c r="AI442" s="10">
        <f>G349</f>
        <v>0</v>
      </c>
      <c r="AJ442" s="10">
        <f>F359</f>
        <v>0</v>
      </c>
      <c r="AK442" s="10">
        <f>G359</f>
        <v>0</v>
      </c>
      <c r="AL442" s="10">
        <f>F360</f>
        <v>0</v>
      </c>
      <c r="AM442" s="10">
        <f>G360</f>
        <v>0</v>
      </c>
      <c r="AN442" s="10">
        <f>F365</f>
        <v>0</v>
      </c>
      <c r="AO442" s="10">
        <f>G365</f>
        <v>0</v>
      </c>
      <c r="AP442" s="10">
        <f>F367</f>
        <v>0</v>
      </c>
      <c r="AQ442" s="10">
        <f>G367</f>
        <v>0</v>
      </c>
      <c r="AR442" s="10">
        <f>G381</f>
        <v>0</v>
      </c>
      <c r="AS442" s="10">
        <f>G394</f>
        <v>0</v>
      </c>
      <c r="AT442" s="10">
        <f>G387</f>
        <v>0</v>
      </c>
      <c r="AU442" s="10">
        <f>G393</f>
        <v>0</v>
      </c>
      <c r="AV442" s="10">
        <f>G392</f>
        <v>0</v>
      </c>
      <c r="AW442" s="10"/>
      <c r="AX442" s="10"/>
      <c r="AY442" s="10"/>
      <c r="AZ442" s="10">
        <f>N405</f>
        <v>0</v>
      </c>
      <c r="BA442" s="10">
        <f>N412</f>
        <v>0</v>
      </c>
      <c r="BB442" s="10">
        <f>N420</f>
        <v>0</v>
      </c>
    </row>
    <row r="444" spans="1:54">
      <c r="A444" s="8" t="s">
        <v>197</v>
      </c>
      <c r="C444" s="10">
        <f t="shared" ref="C444:G444" si="61">C438</f>
        <v>107.13336161049625</v>
      </c>
      <c r="D444" s="10">
        <f t="shared" si="61"/>
        <v>7.2074619525089014</v>
      </c>
      <c r="E444" s="102">
        <f t="shared" si="61"/>
        <v>1.1243241654723723</v>
      </c>
      <c r="F444" s="10">
        <f t="shared" si="61"/>
        <v>76.792186029155175</v>
      </c>
      <c r="G444" s="10">
        <f t="shared" si="61"/>
        <v>83.127442468840769</v>
      </c>
      <c r="H444" s="10"/>
      <c r="I444" s="10"/>
      <c r="J444" s="10">
        <f>J438</f>
        <v>65.498915049008488</v>
      </c>
      <c r="K444" s="10">
        <f>K438</f>
        <v>61.871906345895901</v>
      </c>
      <c r="L444" s="10">
        <f t="shared" ref="L444:M444" si="62">L438</f>
        <v>30.754480597579274</v>
      </c>
      <c r="M444" s="10">
        <f t="shared" si="62"/>
        <v>29.419882349590452</v>
      </c>
      <c r="N444" s="10">
        <f t="shared" ref="N444" si="63">N438</f>
        <v>17.156252272634841</v>
      </c>
      <c r="O444" s="10">
        <f>O438</f>
        <v>93.12027142922463</v>
      </c>
      <c r="P444" s="10"/>
      <c r="Q444" s="10"/>
      <c r="R444" s="10">
        <f>R438</f>
        <v>2.7544827682857251</v>
      </c>
      <c r="S444" s="10">
        <f>S438</f>
        <v>20.717614085166343</v>
      </c>
      <c r="T444" s="10">
        <f t="shared" ref="T444:U444" si="64">T438</f>
        <v>4.7174635083571932</v>
      </c>
      <c r="U444" s="10">
        <f t="shared" si="64"/>
        <v>2.6318290069798529</v>
      </c>
      <c r="V444" s="10">
        <f>V438</f>
        <v>0.68305870603174412</v>
      </c>
      <c r="W444" s="10"/>
      <c r="X444" s="10"/>
      <c r="Y444" s="10">
        <f>Y438</f>
        <v>7.1658166914656407</v>
      </c>
      <c r="Z444" s="10">
        <f>Z438</f>
        <v>7.8468826453128013</v>
      </c>
      <c r="AA444" s="10">
        <f>AA438</f>
        <v>7.896032386463478</v>
      </c>
      <c r="AB444" s="10">
        <f>AB438</f>
        <v>2.2590539147615476</v>
      </c>
      <c r="AC444" s="10">
        <f>AC438</f>
        <v>1.5437827470749543</v>
      </c>
      <c r="AD444" s="10">
        <f t="shared" ref="AD444:BB444" si="65">AD438</f>
        <v>2.8277419367670431</v>
      </c>
      <c r="AE444" s="10">
        <f t="shared" si="65"/>
        <v>24.942295012275551</v>
      </c>
      <c r="AF444" s="10">
        <f t="shared" si="65"/>
        <v>4.6906123563936424</v>
      </c>
      <c r="AG444" s="10">
        <f t="shared" si="65"/>
        <v>10.840345270993669</v>
      </c>
      <c r="AH444" s="10">
        <f t="shared" si="65"/>
        <v>4.4384406724488619</v>
      </c>
      <c r="AI444" s="10">
        <f t="shared" si="65"/>
        <v>12.33420129500594</v>
      </c>
      <c r="AJ444" s="10">
        <f t="shared" si="65"/>
        <v>16.287786355836555</v>
      </c>
      <c r="AK444" s="10">
        <f t="shared" si="65"/>
        <v>5.0948176527577376</v>
      </c>
      <c r="AL444" s="10">
        <f t="shared" si="65"/>
        <v>24.309740535304758</v>
      </c>
      <c r="AM444" s="10">
        <f t="shared" si="65"/>
        <v>12.114568812355499</v>
      </c>
      <c r="AN444" s="10">
        <f t="shared" si="65"/>
        <v>11.902028107217149</v>
      </c>
      <c r="AO444" s="10">
        <f t="shared" si="65"/>
        <v>1.7499249567939756</v>
      </c>
      <c r="AP444" s="10">
        <f t="shared" si="65"/>
        <v>8.0418305290635335</v>
      </c>
      <c r="AQ444" s="10">
        <f t="shared" si="65"/>
        <v>1.828887153318657</v>
      </c>
      <c r="AR444" s="10">
        <f t="shared" si="65"/>
        <v>17.72177370599524</v>
      </c>
      <c r="AS444" s="10">
        <f t="shared" si="65"/>
        <v>13.832016615369319</v>
      </c>
      <c r="AT444" s="10">
        <f t="shared" si="65"/>
        <v>6.3942083470308146</v>
      </c>
      <c r="AU444" s="10">
        <f t="shared" si="65"/>
        <v>6.2134364028388678</v>
      </c>
      <c r="AV444" s="10">
        <f t="shared" si="65"/>
        <v>4.1659510790607372</v>
      </c>
      <c r="AW444" s="10">
        <f t="shared" si="65"/>
        <v>0</v>
      </c>
      <c r="AX444" s="10">
        <f t="shared" si="65"/>
        <v>0</v>
      </c>
      <c r="AY444" s="10">
        <f t="shared" si="65"/>
        <v>0</v>
      </c>
      <c r="AZ444" s="10">
        <f t="shared" si="65"/>
        <v>0.55028604394305469</v>
      </c>
      <c r="BA444" s="10">
        <f t="shared" si="65"/>
        <v>2.9820914345550271</v>
      </c>
      <c r="BB444" s="10">
        <f t="shared" si="65"/>
        <v>12.731948947956413</v>
      </c>
    </row>
    <row r="445" spans="1:54">
      <c r="A445" s="8" t="s">
        <v>198</v>
      </c>
      <c r="C445" s="10">
        <f t="shared" ref="C445:G445" si="66">C437-C438</f>
        <v>25.136680141394606</v>
      </c>
      <c r="D445" s="10">
        <f t="shared" si="66"/>
        <v>0.85629807971131289</v>
      </c>
      <c r="E445" s="102">
        <f t="shared" si="66"/>
        <v>8.8832450498773419E-2</v>
      </c>
      <c r="F445" s="10">
        <f t="shared" si="66"/>
        <v>0.34227255444142202</v>
      </c>
      <c r="G445" s="10">
        <f t="shared" si="66"/>
        <v>0.52565398271082131</v>
      </c>
      <c r="H445" s="10"/>
      <c r="I445" s="10"/>
      <c r="J445" s="10">
        <f>J437-J438</f>
        <v>6.2682656595698489</v>
      </c>
      <c r="K445" s="10">
        <f>K437-K438</f>
        <v>6.2383865135186554</v>
      </c>
      <c r="L445" s="10">
        <f t="shared" ref="L445:M445" si="67">L437-L438</f>
        <v>5.1010401571686828</v>
      </c>
      <c r="M445" s="10">
        <f t="shared" si="67"/>
        <v>3.035124211924412</v>
      </c>
      <c r="N445" s="10">
        <f t="shared" ref="N445" si="68">N437-N438</f>
        <v>2.259125153810146</v>
      </c>
      <c r="O445" s="10">
        <f>O437-O438</f>
        <v>3.3343436824407036</v>
      </c>
      <c r="P445" s="10"/>
      <c r="Q445" s="10"/>
      <c r="R445" s="10">
        <f>R437-R438</f>
        <v>0.96517092825476913</v>
      </c>
      <c r="S445" s="10">
        <f>S437-S438</f>
        <v>1.4157270092534624</v>
      </c>
      <c r="T445" s="10">
        <f t="shared" ref="T445:U445" si="69">T437-T438</f>
        <v>1.1480235946059283</v>
      </c>
      <c r="U445" s="10">
        <f t="shared" si="69"/>
        <v>0.9357893862357054</v>
      </c>
      <c r="V445" s="10">
        <f>V437-V438</f>
        <v>0.32359969838127123</v>
      </c>
      <c r="W445" s="10"/>
      <c r="X445" s="10"/>
      <c r="Y445" s="10">
        <f>Y437-Y438</f>
        <v>0.35436665338662543</v>
      </c>
      <c r="Z445" s="10">
        <f>Z437-Z438</f>
        <v>0.49647608427213008</v>
      </c>
      <c r="AA445" s="10">
        <f>AA437-AA438</f>
        <v>1.5500177418366352</v>
      </c>
      <c r="AB445" s="10">
        <f>AB437-AB438</f>
        <v>0.52715956830522792</v>
      </c>
      <c r="AC445" s="10">
        <f>AC437-AC438</f>
        <v>0.33729206894574593</v>
      </c>
      <c r="AD445" s="10">
        <f t="shared" ref="AD445:BB445" si="70">AD437-AD438</f>
        <v>0.94852934918658649</v>
      </c>
      <c r="AE445" s="10">
        <f t="shared" si="70"/>
        <v>8.8416017173650445</v>
      </c>
      <c r="AF445" s="10">
        <f t="shared" si="70"/>
        <v>1.1950738698960262</v>
      </c>
      <c r="AG445" s="10">
        <f t="shared" si="70"/>
        <v>3.2195986370038767</v>
      </c>
      <c r="AH445" s="10">
        <f t="shared" si="70"/>
        <v>1.4770129371139396</v>
      </c>
      <c r="AI445" s="10">
        <f t="shared" si="70"/>
        <v>2.491551047751221</v>
      </c>
      <c r="AJ445" s="10">
        <f t="shared" si="70"/>
        <v>5.455058101614096</v>
      </c>
      <c r="AK445" s="10">
        <f t="shared" si="70"/>
        <v>1.8568967113788677</v>
      </c>
      <c r="AL445" s="10">
        <f t="shared" si="70"/>
        <v>2.1918769119968609</v>
      </c>
      <c r="AM445" s="10">
        <f t="shared" si="70"/>
        <v>1.9105907706490122</v>
      </c>
      <c r="AN445" s="10">
        <f t="shared" si="70"/>
        <v>2.7942124369973751</v>
      </c>
      <c r="AO445" s="10">
        <f t="shared" si="70"/>
        <v>1.256107562605981</v>
      </c>
      <c r="AP445" s="10">
        <f t="shared" si="70"/>
        <v>4.8866904686143346</v>
      </c>
      <c r="AQ445" s="10">
        <f t="shared" si="70"/>
        <v>1.2305057594935598</v>
      </c>
      <c r="AR445" s="10">
        <f t="shared" si="70"/>
        <v>1.8504808873564009</v>
      </c>
      <c r="AS445" s="10">
        <f t="shared" si="70"/>
        <v>3.1258108642161169</v>
      </c>
      <c r="AT445" s="10">
        <f t="shared" si="70"/>
        <v>1.3241698481494355</v>
      </c>
      <c r="AU445" s="10">
        <f t="shared" si="70"/>
        <v>0.95118753393696753</v>
      </c>
      <c r="AV445" s="10">
        <f t="shared" si="70"/>
        <v>0.95161020288410647</v>
      </c>
      <c r="AW445" s="10">
        <f t="shared" si="70"/>
        <v>0</v>
      </c>
      <c r="AX445" s="10">
        <f t="shared" si="70"/>
        <v>0</v>
      </c>
      <c r="AY445" s="10">
        <f t="shared" si="70"/>
        <v>0</v>
      </c>
      <c r="AZ445" s="10">
        <f t="shared" si="70"/>
        <v>1.0913893579109253</v>
      </c>
      <c r="BA445" s="10">
        <f t="shared" si="70"/>
        <v>2.0810007518788343</v>
      </c>
      <c r="BB445" s="10">
        <f t="shared" si="70"/>
        <v>7.6592306643567607</v>
      </c>
    </row>
    <row r="446" spans="1:54">
      <c r="A446" s="8" t="s">
        <v>199</v>
      </c>
      <c r="C446" s="10">
        <f t="shared" ref="C446:G446" si="71">C439-C437</f>
        <v>47.368401774812924</v>
      </c>
      <c r="D446" s="10">
        <f t="shared" si="71"/>
        <v>1.0384690858315277</v>
      </c>
      <c r="E446" s="102">
        <f t="shared" si="71"/>
        <v>0.16146131785897699</v>
      </c>
      <c r="F446" s="10">
        <f t="shared" si="71"/>
        <v>0.52174350708196471</v>
      </c>
      <c r="G446" s="10">
        <f t="shared" si="71"/>
        <v>0.45019613343797005</v>
      </c>
      <c r="H446" s="10"/>
      <c r="I446" s="10"/>
      <c r="J446" s="10">
        <f>J439-J437</f>
        <v>20.18037460508576</v>
      </c>
      <c r="K446" s="10">
        <f>K439-K437</f>
        <v>16.519759871436719</v>
      </c>
      <c r="L446" s="10">
        <f t="shared" ref="L446:M446" si="72">L439-L437</f>
        <v>7.1972557600638964</v>
      </c>
      <c r="M446" s="10">
        <f t="shared" si="72"/>
        <v>5.4916363555752952</v>
      </c>
      <c r="N446" s="10">
        <f t="shared" ref="N446" si="73">N439-N437</f>
        <v>2.1964876273159142</v>
      </c>
      <c r="O446" s="10">
        <f>O439-O437</f>
        <v>2.7419642231956516</v>
      </c>
      <c r="P446" s="10"/>
      <c r="Q446" s="10"/>
      <c r="R446" s="10">
        <f>R439-R437</f>
        <v>0.55641031212611614</v>
      </c>
      <c r="S446" s="10">
        <f>S439-S437</f>
        <v>2.1347742276846233</v>
      </c>
      <c r="T446" s="10">
        <f t="shared" ref="T446:U446" si="74">T439-T437</f>
        <v>2.2362143324397765</v>
      </c>
      <c r="U446" s="10">
        <f t="shared" si="74"/>
        <v>1.3031943610759811</v>
      </c>
      <c r="V446" s="10">
        <f>V439-V437</f>
        <v>0.37180186502381263</v>
      </c>
      <c r="W446" s="10"/>
      <c r="X446" s="10"/>
      <c r="Y446" s="10">
        <f>Y439-Y437</f>
        <v>0.60896132639733036</v>
      </c>
      <c r="Z446" s="10">
        <f>Z439-Z437</f>
        <v>0.63545162538363442</v>
      </c>
      <c r="AA446" s="10">
        <f>AA439-AA437</f>
        <v>3.3189968191142523</v>
      </c>
      <c r="AB446" s="10">
        <f>AB439-AB437</f>
        <v>0.72422945140637784</v>
      </c>
      <c r="AC446" s="10">
        <f>AC439-AC437</f>
        <v>0.41217547343235728</v>
      </c>
      <c r="AD446" s="10">
        <f t="shared" ref="AD446:BB446" si="75">AD439-AD437</f>
        <v>0.56889546479419417</v>
      </c>
      <c r="AE446" s="10">
        <f t="shared" si="75"/>
        <v>4.7951649438884161</v>
      </c>
      <c r="AF446" s="10">
        <f t="shared" si="75"/>
        <v>1.7438969484927123</v>
      </c>
      <c r="AG446" s="10">
        <f t="shared" si="75"/>
        <v>2.0011847683751327</v>
      </c>
      <c r="AH446" s="10">
        <f t="shared" si="75"/>
        <v>1.6957598240569141</v>
      </c>
      <c r="AI446" s="10">
        <f t="shared" si="75"/>
        <v>2.233668914695512</v>
      </c>
      <c r="AJ446" s="10">
        <f t="shared" si="75"/>
        <v>14.172133542148103</v>
      </c>
      <c r="AK446" s="10">
        <f t="shared" si="75"/>
        <v>3.2952398433204246</v>
      </c>
      <c r="AL446" s="10">
        <f t="shared" si="75"/>
        <v>2.5759904336551642</v>
      </c>
      <c r="AM446" s="10">
        <f t="shared" si="75"/>
        <v>1.1957246754744464</v>
      </c>
      <c r="AN446" s="10">
        <f t="shared" si="75"/>
        <v>4.0774791400956065</v>
      </c>
      <c r="AO446" s="10">
        <f t="shared" si="75"/>
        <v>1.3993587817147977</v>
      </c>
      <c r="AP446" s="10">
        <f t="shared" si="75"/>
        <v>3.7788343144761072</v>
      </c>
      <c r="AQ446" s="10">
        <f t="shared" si="75"/>
        <v>1.2756918993628545</v>
      </c>
      <c r="AR446" s="10">
        <f t="shared" si="75"/>
        <v>2.9246099013412277</v>
      </c>
      <c r="AS446" s="10">
        <f t="shared" si="75"/>
        <v>2.3063891649758652</v>
      </c>
      <c r="AT446" s="10">
        <f t="shared" si="75"/>
        <v>1.2453424160498781</v>
      </c>
      <c r="AU446" s="10">
        <f t="shared" si="75"/>
        <v>0.70527174413326232</v>
      </c>
      <c r="AV446" s="10">
        <f t="shared" si="75"/>
        <v>0.91439318648437684</v>
      </c>
      <c r="AW446" s="10">
        <f t="shared" si="75"/>
        <v>0</v>
      </c>
      <c r="AX446" s="10">
        <f t="shared" si="75"/>
        <v>0</v>
      </c>
      <c r="AY446" s="10">
        <f t="shared" si="75"/>
        <v>0</v>
      </c>
      <c r="AZ446" s="10">
        <f t="shared" si="75"/>
        <v>1.1006229853304657</v>
      </c>
      <c r="BA446" s="10">
        <f t="shared" si="75"/>
        <v>1.9936364370290374</v>
      </c>
      <c r="BB446" s="10">
        <f t="shared" si="75"/>
        <v>8.1007128436542573</v>
      </c>
    </row>
    <row r="447" spans="1:54">
      <c r="A447" s="8" t="s">
        <v>200</v>
      </c>
      <c r="C447" s="10">
        <f t="shared" ref="C447:G447" si="76">C438-C435</f>
        <v>38.402688928864933</v>
      </c>
      <c r="D447" s="10">
        <f t="shared" si="76"/>
        <v>2.0444473594000074</v>
      </c>
      <c r="E447" s="102">
        <f t="shared" si="76"/>
        <v>0.12752219743081961</v>
      </c>
      <c r="F447" s="10">
        <f t="shared" si="76"/>
        <v>1.7218550415143881</v>
      </c>
      <c r="G447" s="10">
        <f t="shared" si="76"/>
        <v>1.7792295458077945</v>
      </c>
      <c r="H447" s="10"/>
      <c r="I447" s="10"/>
      <c r="J447" s="10">
        <f>J438-J435</f>
        <v>19.058622464439964</v>
      </c>
      <c r="K447" s="10">
        <f>K438-K435</f>
        <v>11.952111671529522</v>
      </c>
      <c r="L447" s="10">
        <f t="shared" ref="L447:M447" si="77">L438-L435</f>
        <v>12.743810124884131</v>
      </c>
      <c r="M447" s="10">
        <f t="shared" si="77"/>
        <v>9.5527863709647072</v>
      </c>
      <c r="N447" s="10">
        <f t="shared" ref="N447" si="78">N438-N435</f>
        <v>3.4528712523099969</v>
      </c>
      <c r="O447" s="10">
        <f>O438-O435</f>
        <v>31.092306149978477</v>
      </c>
      <c r="P447" s="10"/>
      <c r="Q447" s="10"/>
      <c r="R447" s="10">
        <f>R438-R435</f>
        <v>0.69340258173540192</v>
      </c>
      <c r="S447" s="10">
        <f>S438-S435</f>
        <v>2.5787064654765253</v>
      </c>
      <c r="T447" s="10">
        <f t="shared" ref="T447:U447" si="79">T438-T435</f>
        <v>2.7384939373407224</v>
      </c>
      <c r="U447" s="10">
        <f t="shared" si="79"/>
        <v>1.7437094161065247</v>
      </c>
      <c r="V447" s="10">
        <f>V438-V435</f>
        <v>0.29902186538602443</v>
      </c>
      <c r="W447" s="10"/>
      <c r="X447" s="10"/>
      <c r="Y447" s="10">
        <f>Y438-Y435</f>
        <v>0.93268785710981206</v>
      </c>
      <c r="Z447" s="10">
        <f>Z438-Z435</f>
        <v>1.4649404562903907</v>
      </c>
      <c r="AA447" s="10">
        <f>AA438-AA435</f>
        <v>1.5643380868415262</v>
      </c>
      <c r="AB447" s="10">
        <f>AB438-AB435</f>
        <v>1.5577916426717859</v>
      </c>
      <c r="AC447" s="10">
        <f>AC438-AC435</f>
        <v>1.1494609805134401</v>
      </c>
      <c r="AD447" s="10">
        <f t="shared" ref="AD447:BB447" si="80">AD438-AD435</f>
        <v>1.6879243075877119</v>
      </c>
      <c r="AE447" s="10">
        <f t="shared" si="80"/>
        <v>10.921371928201088</v>
      </c>
      <c r="AF447" s="10">
        <f t="shared" si="80"/>
        <v>2.0861761809670543</v>
      </c>
      <c r="AG447" s="10">
        <f t="shared" si="80"/>
        <v>2.5052111786292492</v>
      </c>
      <c r="AH447" s="10">
        <f t="shared" si="80"/>
        <v>1.4230764891681731</v>
      </c>
      <c r="AI447" s="10">
        <f t="shared" si="80"/>
        <v>5.2510608333496771</v>
      </c>
      <c r="AJ447" s="10">
        <f t="shared" si="80"/>
        <v>6.7209401913958704</v>
      </c>
      <c r="AK447" s="10">
        <f t="shared" si="80"/>
        <v>2.488027631815374</v>
      </c>
      <c r="AL447" s="10">
        <f t="shared" si="80"/>
        <v>7.1596662530378588</v>
      </c>
      <c r="AM447" s="10">
        <f t="shared" si="80"/>
        <v>3.397653211564938</v>
      </c>
      <c r="AN447" s="10">
        <f t="shared" si="80"/>
        <v>4.0121642634459933</v>
      </c>
      <c r="AO447" s="10">
        <f t="shared" si="80"/>
        <v>1.128104812144997</v>
      </c>
      <c r="AP447" s="10">
        <f t="shared" si="80"/>
        <v>4.7892475664516443</v>
      </c>
      <c r="AQ447" s="10">
        <f t="shared" si="80"/>
        <v>1.2123525078370381</v>
      </c>
      <c r="AR447" s="10">
        <f t="shared" si="80"/>
        <v>4.084054754900416</v>
      </c>
      <c r="AS447" s="10">
        <f t="shared" si="80"/>
        <v>3.1982172344770881</v>
      </c>
      <c r="AT447" s="10">
        <f t="shared" si="80"/>
        <v>1.7210276464528542</v>
      </c>
      <c r="AU447" s="10">
        <f t="shared" si="80"/>
        <v>1.3405517485334491</v>
      </c>
      <c r="AV447" s="10">
        <f t="shared" si="80"/>
        <v>2.3708291278412252</v>
      </c>
      <c r="AW447" s="10">
        <f t="shared" si="80"/>
        <v>0</v>
      </c>
      <c r="AX447" s="10">
        <f t="shared" si="80"/>
        <v>0</v>
      </c>
      <c r="AY447" s="10">
        <f t="shared" si="80"/>
        <v>0</v>
      </c>
      <c r="AZ447" s="10">
        <f t="shared" si="80"/>
        <v>0.55028604394305469</v>
      </c>
      <c r="BA447" s="10">
        <f t="shared" si="80"/>
        <v>2.9820914345550271</v>
      </c>
      <c r="BB447" s="10">
        <f t="shared" si="80"/>
        <v>6.1968178128617977</v>
      </c>
    </row>
    <row r="448" spans="1:54">
      <c r="A448" s="8" t="s">
        <v>201</v>
      </c>
      <c r="C448" s="10">
        <f t="shared" ref="C448:G448" si="81">C436-C439</f>
        <v>119.89453954393252</v>
      </c>
      <c r="D448" s="10">
        <f t="shared" si="81"/>
        <v>2.0137899347655246</v>
      </c>
      <c r="E448" s="102">
        <f t="shared" si="81"/>
        <v>0.27258967876597295</v>
      </c>
      <c r="F448" s="10">
        <f t="shared" si="81"/>
        <v>1.5595510305476097</v>
      </c>
      <c r="G448" s="10">
        <f t="shared" si="81"/>
        <v>1.3211197927937235</v>
      </c>
      <c r="H448" s="10"/>
      <c r="I448" s="10"/>
      <c r="J448" s="10">
        <f>J436-J439</f>
        <v>39.023815059202533</v>
      </c>
      <c r="K448" s="10">
        <f>K436-K439</f>
        <v>43.845625814506747</v>
      </c>
      <c r="L448" s="10">
        <f t="shared" ref="L448:M448" si="82">L436-L439</f>
        <v>12.907640184788207</v>
      </c>
      <c r="M448" s="10">
        <f t="shared" si="82"/>
        <v>39.195048004970872</v>
      </c>
      <c r="N448" s="10">
        <f t="shared" ref="N448" si="83">N436-N439</f>
        <v>3.445826677590432</v>
      </c>
      <c r="O448" s="10">
        <f>O436-O439</f>
        <v>0.803420665139015</v>
      </c>
      <c r="P448" s="10"/>
      <c r="Q448" s="10"/>
      <c r="R448" s="10">
        <f>R436-R439</f>
        <v>3.0001144158825825</v>
      </c>
      <c r="S448" s="10">
        <f>S436-S439</f>
        <v>10.027392525631456</v>
      </c>
      <c r="T448" s="10">
        <f t="shared" ref="T448:U448" si="84">T436-T439</f>
        <v>6.1276647296677798</v>
      </c>
      <c r="U448" s="10">
        <f t="shared" si="84"/>
        <v>3.7531281768922282</v>
      </c>
      <c r="V448" s="10">
        <f>V436-V439</f>
        <v>1.1355172871673198</v>
      </c>
      <c r="W448" s="10"/>
      <c r="X448" s="10"/>
      <c r="Y448" s="10">
        <f>Y436-Y439</f>
        <v>1.2192972550960128</v>
      </c>
      <c r="Z448" s="10">
        <f>Z436-Z439</f>
        <v>1.3894615997056547</v>
      </c>
      <c r="AA448" s="10">
        <f>AA436-AA439</f>
        <v>4.3823103684447098</v>
      </c>
      <c r="AB448" s="10">
        <f>AB436-AB439</f>
        <v>4.3553148001886184</v>
      </c>
      <c r="AC448" s="10">
        <f>AC436-AC439</f>
        <v>2.4262043513440057</v>
      </c>
      <c r="AD448" s="10">
        <f t="shared" ref="AD448:BB448" si="85">AD436-AD439</f>
        <v>3.2067526954447505</v>
      </c>
      <c r="AE448" s="10">
        <f t="shared" si="85"/>
        <v>14.690797715194158</v>
      </c>
      <c r="AF448" s="10">
        <f t="shared" si="85"/>
        <v>5.2149939234858191</v>
      </c>
      <c r="AG448" s="10">
        <f t="shared" si="85"/>
        <v>16.607594066681951</v>
      </c>
      <c r="AH448" s="10">
        <f t="shared" si="85"/>
        <v>7.4503688814865292</v>
      </c>
      <c r="AI448" s="10">
        <f t="shared" si="85"/>
        <v>6.1788907303722418</v>
      </c>
      <c r="AJ448" s="10">
        <f t="shared" si="85"/>
        <v>28.54530958650853</v>
      </c>
      <c r="AK448" s="10">
        <f t="shared" si="85"/>
        <v>7.085627523452704</v>
      </c>
      <c r="AL448" s="10">
        <f t="shared" si="85"/>
        <v>14.593015334993993</v>
      </c>
      <c r="AM448" s="10">
        <f t="shared" si="85"/>
        <v>7.7155369706290955</v>
      </c>
      <c r="AN448" s="10">
        <f t="shared" si="85"/>
        <v>30.425896812307727</v>
      </c>
      <c r="AO448" s="10">
        <f t="shared" si="85"/>
        <v>8.3399967838683757</v>
      </c>
      <c r="AP448" s="10">
        <f t="shared" si="85"/>
        <v>13.56269531091041</v>
      </c>
      <c r="AQ448" s="10">
        <f t="shared" si="85"/>
        <v>7.012840372729479</v>
      </c>
      <c r="AR448" s="10">
        <f t="shared" si="85"/>
        <v>6.6417564302737873</v>
      </c>
      <c r="AS448" s="10">
        <f t="shared" si="85"/>
        <v>11.552495622644642</v>
      </c>
      <c r="AT448" s="10">
        <f t="shared" si="85"/>
        <v>2.7734846307816934</v>
      </c>
      <c r="AU448" s="10">
        <f t="shared" si="85"/>
        <v>1.2502571366649224</v>
      </c>
      <c r="AV448" s="10">
        <f t="shared" si="85"/>
        <v>3.3125507755288277</v>
      </c>
      <c r="AW448" s="10">
        <f t="shared" si="85"/>
        <v>0</v>
      </c>
      <c r="AX448" s="10">
        <f t="shared" si="85"/>
        <v>0</v>
      </c>
      <c r="AY448" s="10">
        <f t="shared" si="85"/>
        <v>0</v>
      </c>
      <c r="AZ448" s="10">
        <f t="shared" si="85"/>
        <v>5.2265321015610038</v>
      </c>
      <c r="BA448" s="10">
        <f t="shared" si="85"/>
        <v>17.988167198308513</v>
      </c>
      <c r="BB448" s="10">
        <f t="shared" si="85"/>
        <v>19.326670254661948</v>
      </c>
    </row>
    <row r="450" spans="1:54">
      <c r="A450" s="9" t="s">
        <v>202</v>
      </c>
    </row>
    <row r="451" spans="1:54">
      <c r="A451" s="8" t="s">
        <v>203</v>
      </c>
      <c r="C451" s="10">
        <f>ABS(C436-C$436)/(C$436-C$435)*100</f>
        <v>0</v>
      </c>
      <c r="D451" s="10">
        <f t="shared" ref="D451:G458" si="86">(D435-D$435)/(D$436-D$435)*100</f>
        <v>0</v>
      </c>
      <c r="E451" s="10">
        <f t="shared" si="86"/>
        <v>0</v>
      </c>
      <c r="F451" s="10">
        <f t="shared" si="86"/>
        <v>0</v>
      </c>
      <c r="G451" s="10">
        <f t="shared" si="86"/>
        <v>0</v>
      </c>
      <c r="H451" s="10"/>
      <c r="I451" s="10"/>
      <c r="J451" s="10">
        <f>ABS(J436-J$436)/(J$436-J$435)*100</f>
        <v>0</v>
      </c>
      <c r="K451" s="10">
        <f>ABS(K436-K$436)/(K$436-K$435)*100</f>
        <v>0</v>
      </c>
      <c r="L451" s="10">
        <f>ABS(L436-L$436)/(L$436-L$435)*100</f>
        <v>0</v>
      </c>
      <c r="M451" s="10">
        <f>ABS(M436-M$436)/(M$436-M$435)*100</f>
        <v>0</v>
      </c>
      <c r="N451" s="10">
        <f>ABS(N436-N$436)/(N$436-N$435)*100</f>
        <v>0</v>
      </c>
      <c r="O451" s="10">
        <f t="shared" ref="O451:O458" si="87">(O435-O$435)/(O$436-O$435)*100</f>
        <v>0</v>
      </c>
      <c r="P451" s="10"/>
      <c r="Q451" s="10"/>
      <c r="R451" s="10">
        <f>ABS(R436-R$436)/(R$436-R$435)*100</f>
        <v>0</v>
      </c>
      <c r="S451" s="10">
        <f>ABS(S436-S$436)/(S$436-S$435)*100</f>
        <v>0</v>
      </c>
      <c r="T451" s="10">
        <f>ABS(T436-T$436)/(T$436-T$435)*100</f>
        <v>0</v>
      </c>
      <c r="U451" s="10">
        <f>ABS(U436-U$436)/(U$436-U$435)*100</f>
        <v>0</v>
      </c>
      <c r="V451" s="10">
        <f>ABS(V436-V$436)/(V$436-V$435)*100</f>
        <v>0</v>
      </c>
      <c r="W451" s="10"/>
      <c r="X451" s="10"/>
      <c r="Y451" s="10">
        <f t="shared" ref="Y451:BB451" si="88">ABS(Y436-Y$436)/(Y$436-Y$435)*100</f>
        <v>0</v>
      </c>
      <c r="Z451" s="10">
        <f t="shared" si="88"/>
        <v>0</v>
      </c>
      <c r="AA451" s="10">
        <f t="shared" si="88"/>
        <v>0</v>
      </c>
      <c r="AB451" s="10">
        <f t="shared" si="88"/>
        <v>0</v>
      </c>
      <c r="AC451" s="10">
        <f t="shared" si="88"/>
        <v>0</v>
      </c>
      <c r="AD451" s="10">
        <f t="shared" si="88"/>
        <v>0</v>
      </c>
      <c r="AE451" s="10">
        <f t="shared" si="88"/>
        <v>0</v>
      </c>
      <c r="AF451" s="10">
        <f t="shared" si="88"/>
        <v>0</v>
      </c>
      <c r="AG451" s="10">
        <f t="shared" si="88"/>
        <v>0</v>
      </c>
      <c r="AH451" s="10">
        <f t="shared" si="88"/>
        <v>0</v>
      </c>
      <c r="AI451" s="10">
        <f t="shared" si="88"/>
        <v>0</v>
      </c>
      <c r="AJ451" s="10">
        <f t="shared" si="88"/>
        <v>0</v>
      </c>
      <c r="AK451" s="10">
        <f t="shared" si="88"/>
        <v>0</v>
      </c>
      <c r="AL451" s="10">
        <f t="shared" si="88"/>
        <v>0</v>
      </c>
      <c r="AM451" s="10">
        <f t="shared" si="88"/>
        <v>0</v>
      </c>
      <c r="AN451" s="10">
        <f t="shared" si="88"/>
        <v>0</v>
      </c>
      <c r="AO451" s="10">
        <f t="shared" si="88"/>
        <v>0</v>
      </c>
      <c r="AP451" s="10">
        <f t="shared" si="88"/>
        <v>0</v>
      </c>
      <c r="AQ451" s="10">
        <f t="shared" si="88"/>
        <v>0</v>
      </c>
      <c r="AR451" s="10">
        <f t="shared" si="88"/>
        <v>0</v>
      </c>
      <c r="AS451" s="10">
        <f t="shared" si="88"/>
        <v>0</v>
      </c>
      <c r="AT451" s="10">
        <f t="shared" si="88"/>
        <v>0</v>
      </c>
      <c r="AU451" s="10">
        <f t="shared" si="88"/>
        <v>0</v>
      </c>
      <c r="AV451" s="10">
        <f t="shared" si="88"/>
        <v>0</v>
      </c>
      <c r="AW451" s="10" t="e">
        <f t="shared" si="88"/>
        <v>#DIV/0!</v>
      </c>
      <c r="AX451" s="10" t="e">
        <f t="shared" si="88"/>
        <v>#DIV/0!</v>
      </c>
      <c r="AY451" s="10" t="e">
        <f t="shared" si="88"/>
        <v>#DIV/0!</v>
      </c>
      <c r="AZ451" s="10">
        <f t="shared" si="88"/>
        <v>0</v>
      </c>
      <c r="BA451" s="10">
        <f t="shared" si="88"/>
        <v>0</v>
      </c>
      <c r="BB451" s="10">
        <f t="shared" si="88"/>
        <v>0</v>
      </c>
    </row>
    <row r="452" spans="1:54">
      <c r="A452" s="8" t="s">
        <v>204</v>
      </c>
      <c r="C452" s="10">
        <f>ABS(C435-C$436)/(C$436-C$435)*100</f>
        <v>100</v>
      </c>
      <c r="D452" s="10">
        <f t="shared" si="86"/>
        <v>100</v>
      </c>
      <c r="E452" s="10">
        <f t="shared" si="86"/>
        <v>100</v>
      </c>
      <c r="F452" s="10">
        <f t="shared" si="86"/>
        <v>100</v>
      </c>
      <c r="G452" s="10">
        <f t="shared" si="86"/>
        <v>100</v>
      </c>
      <c r="H452" s="10"/>
      <c r="I452" s="10"/>
      <c r="J452" s="10">
        <f>ABS(J435-J$436)/(J$436-J$435)*100</f>
        <v>100</v>
      </c>
      <c r="K452" s="10">
        <f>ABS(K435-K$436)/(K$436-K$435)*100</f>
        <v>100</v>
      </c>
      <c r="L452" s="10">
        <f>ABS(L435-L$436)/(L$436-L$435)*100</f>
        <v>100</v>
      </c>
      <c r="M452" s="10">
        <f>ABS(M435-M$436)/(M$436-M$435)*100</f>
        <v>100</v>
      </c>
      <c r="N452" s="10">
        <f>ABS(N435-N$436)/(N$436-N$435)*100</f>
        <v>100</v>
      </c>
      <c r="O452" s="10">
        <f t="shared" si="87"/>
        <v>100</v>
      </c>
      <c r="P452" s="10"/>
      <c r="Q452" s="10"/>
      <c r="R452" s="10">
        <f>ABS(R435-R$436)/(R$436-R$435)*100</f>
        <v>100</v>
      </c>
      <c r="S452" s="10">
        <f>ABS(S435-S$436)/(S$436-S$435)*100</f>
        <v>100</v>
      </c>
      <c r="T452" s="10">
        <f>ABS(T435-T$436)/(T$436-T$435)*100</f>
        <v>100</v>
      </c>
      <c r="U452" s="10">
        <f>ABS(U435-U$436)/(U$436-U$435)*100</f>
        <v>100</v>
      </c>
      <c r="V452" s="10">
        <f>ABS(V435-V$436)/(V$436-V$435)*100</f>
        <v>100</v>
      </c>
      <c r="W452" s="10"/>
      <c r="X452" s="10"/>
      <c r="Y452" s="10">
        <f t="shared" ref="Y452:BB452" si="89">ABS(Y435-Y$436)/(Y$436-Y$435)*100</f>
        <v>100</v>
      </c>
      <c r="Z452" s="10">
        <f t="shared" si="89"/>
        <v>100</v>
      </c>
      <c r="AA452" s="10">
        <f t="shared" si="89"/>
        <v>100</v>
      </c>
      <c r="AB452" s="10">
        <f t="shared" si="89"/>
        <v>100</v>
      </c>
      <c r="AC452" s="10">
        <f t="shared" si="89"/>
        <v>100</v>
      </c>
      <c r="AD452" s="10">
        <f t="shared" si="89"/>
        <v>100</v>
      </c>
      <c r="AE452" s="10">
        <f t="shared" si="89"/>
        <v>100</v>
      </c>
      <c r="AF452" s="10">
        <f t="shared" si="89"/>
        <v>100</v>
      </c>
      <c r="AG452" s="10">
        <f t="shared" si="89"/>
        <v>100</v>
      </c>
      <c r="AH452" s="10">
        <f t="shared" si="89"/>
        <v>100</v>
      </c>
      <c r="AI452" s="10">
        <f t="shared" si="89"/>
        <v>100</v>
      </c>
      <c r="AJ452" s="10">
        <f t="shared" si="89"/>
        <v>100</v>
      </c>
      <c r="AK452" s="10">
        <f t="shared" si="89"/>
        <v>100</v>
      </c>
      <c r="AL452" s="10">
        <f t="shared" si="89"/>
        <v>100</v>
      </c>
      <c r="AM452" s="10">
        <f t="shared" si="89"/>
        <v>100</v>
      </c>
      <c r="AN452" s="10">
        <f t="shared" si="89"/>
        <v>100</v>
      </c>
      <c r="AO452" s="10">
        <f t="shared" si="89"/>
        <v>100</v>
      </c>
      <c r="AP452" s="10">
        <f t="shared" si="89"/>
        <v>100</v>
      </c>
      <c r="AQ452" s="10">
        <f t="shared" si="89"/>
        <v>100</v>
      </c>
      <c r="AR452" s="10">
        <f t="shared" si="89"/>
        <v>100</v>
      </c>
      <c r="AS452" s="10">
        <f t="shared" si="89"/>
        <v>100</v>
      </c>
      <c r="AT452" s="10">
        <f t="shared" si="89"/>
        <v>100</v>
      </c>
      <c r="AU452" s="10">
        <f t="shared" si="89"/>
        <v>100</v>
      </c>
      <c r="AV452" s="10">
        <f t="shared" si="89"/>
        <v>100</v>
      </c>
      <c r="AW452" s="10" t="e">
        <f t="shared" si="89"/>
        <v>#DIV/0!</v>
      </c>
      <c r="AX452" s="10" t="e">
        <f t="shared" si="89"/>
        <v>#DIV/0!</v>
      </c>
      <c r="AY452" s="10" t="e">
        <f t="shared" si="89"/>
        <v>#DIV/0!</v>
      </c>
      <c r="AZ452" s="10">
        <f t="shared" si="89"/>
        <v>100</v>
      </c>
      <c r="BA452" s="10">
        <f t="shared" si="89"/>
        <v>100</v>
      </c>
      <c r="BB452" s="10">
        <f t="shared" si="89"/>
        <v>100</v>
      </c>
    </row>
    <row r="453" spans="1:54">
      <c r="A453" s="8" t="s">
        <v>194</v>
      </c>
      <c r="C453" s="10">
        <f>ABS(C437-C$436)/(C$436-C$435)*100</f>
        <v>72.47021965977406</v>
      </c>
      <c r="D453" s="10">
        <f t="shared" si="86"/>
        <v>48.727419217378227</v>
      </c>
      <c r="E453" s="10">
        <f t="shared" si="86"/>
        <v>33.264571078218793</v>
      </c>
      <c r="F453" s="10">
        <f t="shared" si="86"/>
        <v>49.792940970538545</v>
      </c>
      <c r="G453" s="10">
        <f t="shared" si="86"/>
        <v>56.544915284568752</v>
      </c>
      <c r="H453" s="10"/>
      <c r="I453" s="10"/>
      <c r="J453" s="10">
        <f>ABS(J437-J$436)/(J$436-J$435)*100</f>
        <v>70.03837075467186</v>
      </c>
      <c r="K453" s="10">
        <f>ABS(K437-K$436)/(K$436-K$435)*100</f>
        <v>76.843875609723256</v>
      </c>
      <c r="L453" s="10">
        <f>ABS(L437-L$436)/(L$436-L$435)*100</f>
        <v>52.977682181701915</v>
      </c>
      <c r="M453" s="10">
        <f>ABS(M437-M$436)/(M$436-M$435)*100</f>
        <v>78.021825217059998</v>
      </c>
      <c r="N453" s="10">
        <f>ABS(N437-N$436)/(N$436-N$435)*100</f>
        <v>49.693146933410382</v>
      </c>
      <c r="O453" s="10">
        <f t="shared" si="87"/>
        <v>90.663168528082821</v>
      </c>
      <c r="P453" s="10"/>
      <c r="Q453" s="10"/>
      <c r="R453" s="10">
        <f>ABS(R437-R$436)/(R$436-R$435)*100</f>
        <v>68.196696700643628</v>
      </c>
      <c r="S453" s="10">
        <f>ABS(S437-S$436)/(S$436-S$435)*100</f>
        <v>75.276769751373223</v>
      </c>
      <c r="T453" s="10">
        <f>ABS(T437-T$436)/(T$436-T$435)*100</f>
        <v>68.274353388420167</v>
      </c>
      <c r="U453" s="10">
        <f>ABS(U437-U$436)/(U$436-U$435)*100</f>
        <v>65.362452356808163</v>
      </c>
      <c r="V453" s="10">
        <f>ABS(V437-V$436)/(V$436-V$435)*100</f>
        <v>70.76812706089197</v>
      </c>
      <c r="W453" s="10"/>
      <c r="X453" s="10"/>
      <c r="Y453" s="10">
        <f t="shared" ref="Y453:BB453" si="90">ABS(Y437-Y$436)/(Y$436-Y$435)*100</f>
        <v>58.686190681579831</v>
      </c>
      <c r="Z453" s="10">
        <f t="shared" si="90"/>
        <v>50.796430404151295</v>
      </c>
      <c r="AA453" s="10">
        <f t="shared" si="90"/>
        <v>71.205132556342548</v>
      </c>
      <c r="AB453" s="10">
        <f t="shared" si="90"/>
        <v>70.898841071656847</v>
      </c>
      <c r="AC453" s="10">
        <f t="shared" si="90"/>
        <v>65.625263022191803</v>
      </c>
      <c r="AD453" s="10">
        <f t="shared" si="90"/>
        <v>58.883159812294458</v>
      </c>
      <c r="AE453" s="10">
        <f t="shared" si="90"/>
        <v>49.647110198944738</v>
      </c>
      <c r="AF453" s="10">
        <f t="shared" si="90"/>
        <v>67.956983447913899</v>
      </c>
      <c r="AG453" s="10">
        <f t="shared" si="90"/>
        <v>76.473631169602498</v>
      </c>
      <c r="AH453" s="10">
        <f t="shared" si="90"/>
        <v>75.925312039467315</v>
      </c>
      <c r="AI453" s="10">
        <f t="shared" si="90"/>
        <v>52.073477718517736</v>
      </c>
      <c r="AJ453" s="10">
        <f t="shared" si="90"/>
        <v>77.818846882855368</v>
      </c>
      <c r="AK453" s="10">
        <f t="shared" si="90"/>
        <v>70.494460136541818</v>
      </c>
      <c r="AL453" s="10">
        <f t="shared" si="90"/>
        <v>64.738500743635512</v>
      </c>
      <c r="AM453" s="10">
        <f t="shared" si="90"/>
        <v>62.669278940029912</v>
      </c>
      <c r="AN453" s="10">
        <f t="shared" si="90"/>
        <v>83.523559781047638</v>
      </c>
      <c r="AO453" s="10">
        <f t="shared" si="90"/>
        <v>80.334070081639155</v>
      </c>
      <c r="AP453" s="10">
        <f t="shared" si="90"/>
        <v>64.186362109616297</v>
      </c>
      <c r="AQ453" s="10">
        <f t="shared" si="90"/>
        <v>77.236330572850804</v>
      </c>
      <c r="AR453" s="10">
        <f t="shared" si="90"/>
        <v>61.714901156977753</v>
      </c>
      <c r="AS453" s="10">
        <f t="shared" si="90"/>
        <v>68.666425236460242</v>
      </c>
      <c r="AT453" s="10">
        <f t="shared" si="90"/>
        <v>56.891464961074824</v>
      </c>
      <c r="AU453" s="10">
        <f t="shared" si="90"/>
        <v>46.042039391580445</v>
      </c>
      <c r="AV453" s="10">
        <f t="shared" si="90"/>
        <v>55.990586225486005</v>
      </c>
      <c r="AW453" s="10" t="e">
        <f t="shared" si="90"/>
        <v>#DIV/0!</v>
      </c>
      <c r="AX453" s="10" t="e">
        <f t="shared" si="90"/>
        <v>#DIV/0!</v>
      </c>
      <c r="AY453" s="10" t="e">
        <f t="shared" si="90"/>
        <v>#DIV/0!</v>
      </c>
      <c r="AZ453" s="10">
        <f t="shared" si="90"/>
        <v>79.398791275927451</v>
      </c>
      <c r="BA453" s="10">
        <f t="shared" si="90"/>
        <v>79.783935926646819</v>
      </c>
      <c r="BB453" s="10">
        <f t="shared" si="90"/>
        <v>66.436781177294677</v>
      </c>
    </row>
    <row r="454" spans="1:54">
      <c r="A454" s="8" t="s">
        <v>195</v>
      </c>
      <c r="C454" s="10">
        <f>ABS(C439-C$436)/(C$436-C$435)*100</f>
        <v>51.946854146241719</v>
      </c>
      <c r="D454" s="10">
        <f t="shared" si="86"/>
        <v>34.343118222695928</v>
      </c>
      <c r="E454" s="10">
        <f t="shared" si="86"/>
        <v>19.606563765011362</v>
      </c>
      <c r="F454" s="10">
        <f t="shared" si="86"/>
        <v>41.536301636551357</v>
      </c>
      <c r="G454" s="10">
        <f t="shared" si="86"/>
        <v>43.649226824127098</v>
      </c>
      <c r="H454" s="10"/>
      <c r="I454" s="10"/>
      <c r="J454" s="10">
        <f>ABS(J439-J$436)/(J$436-J$435)*100</f>
        <v>46.165050866776859</v>
      </c>
      <c r="K454" s="10">
        <f>ABS(K439-K$436)/(K$436-K$435)*100</f>
        <v>55.814566209339844</v>
      </c>
      <c r="L454" s="10">
        <f>ABS(L439-L$436)/(L$436-L$435)*100</f>
        <v>34.012454543469865</v>
      </c>
      <c r="M454" s="10">
        <f>ABS(M439-M$436)/(M$436-M$435)*100</f>
        <v>68.433566476864854</v>
      </c>
      <c r="N454" s="10">
        <f>ABS(N439-N$436)/(N$436-N$435)*100</f>
        <v>30.348180222372221</v>
      </c>
      <c r="O454" s="10">
        <f t="shared" si="87"/>
        <v>81.882117665358578</v>
      </c>
      <c r="P454" s="10"/>
      <c r="Q454" s="10"/>
      <c r="R454" s="10">
        <f>ABS(R439-R$436)/(R$436-R$435)*100</f>
        <v>57.52747654920077</v>
      </c>
      <c r="S454" s="10">
        <f>ABS(S439-S$436)/(S$436-S$435)*100</f>
        <v>62.063753414069225</v>
      </c>
      <c r="T454" s="10">
        <f>ABS(T439-T$436)/(T$436-T$435)*100</f>
        <v>50.02013349218322</v>
      </c>
      <c r="U454" s="10">
        <f>ABS(U439-U$436)/(U$436-U$435)*100</f>
        <v>48.51622099046066</v>
      </c>
      <c r="V454" s="10">
        <f>ABS(V439-V$436)/(V$436-V$435)*100</f>
        <v>53.312154590009854</v>
      </c>
      <c r="W454" s="10"/>
      <c r="X454" s="10"/>
      <c r="Y454" s="10">
        <f t="shared" ref="Y454:BB454" si="91">ABS(Y439-Y$436)/(Y$436-Y$435)*100</f>
        <v>39.138835137666241</v>
      </c>
      <c r="Z454" s="10">
        <f t="shared" si="91"/>
        <v>34.855661257077713</v>
      </c>
      <c r="AA454" s="10">
        <f t="shared" si="91"/>
        <v>40.518185171502864</v>
      </c>
      <c r="AB454" s="10">
        <f t="shared" si="91"/>
        <v>60.790251357421987</v>
      </c>
      <c r="AC454" s="10">
        <f t="shared" si="91"/>
        <v>56.095487049581763</v>
      </c>
      <c r="AD454" s="10">
        <f t="shared" si="91"/>
        <v>50.010944725429454</v>
      </c>
      <c r="AE454" s="10">
        <f t="shared" si="91"/>
        <v>37.42979835469874</v>
      </c>
      <c r="AF454" s="10">
        <f t="shared" si="91"/>
        <v>50.926974177213488</v>
      </c>
      <c r="AG454" s="10">
        <f t="shared" si="91"/>
        <v>68.249670466139349</v>
      </c>
      <c r="AH454" s="10">
        <f t="shared" si="91"/>
        <v>61.848198330420367</v>
      </c>
      <c r="AI454" s="10">
        <f t="shared" si="91"/>
        <v>38.247137892429564</v>
      </c>
      <c r="AJ454" s="10">
        <f t="shared" si="91"/>
        <v>52.001311718163869</v>
      </c>
      <c r="AK454" s="10">
        <f t="shared" si="91"/>
        <v>48.117124450814359</v>
      </c>
      <c r="AL454" s="10">
        <f t="shared" si="91"/>
        <v>55.025314036616088</v>
      </c>
      <c r="AM454" s="10">
        <f t="shared" si="91"/>
        <v>54.260233599570142</v>
      </c>
      <c r="AN454" s="10">
        <f t="shared" si="91"/>
        <v>73.653059770163125</v>
      </c>
      <c r="AO454" s="10">
        <f t="shared" si="91"/>
        <v>68.791603469485793</v>
      </c>
      <c r="AP454" s="10">
        <f t="shared" si="91"/>
        <v>50.199728121681616</v>
      </c>
      <c r="AQ454" s="10">
        <f t="shared" si="91"/>
        <v>65.348850616954493</v>
      </c>
      <c r="AR454" s="10">
        <f t="shared" si="91"/>
        <v>42.847548107000918</v>
      </c>
      <c r="AS454" s="10">
        <f t="shared" si="91"/>
        <v>57.238990663624847</v>
      </c>
      <c r="AT454" s="10">
        <f t="shared" si="91"/>
        <v>39.262103557453514</v>
      </c>
      <c r="AU454" s="10">
        <f t="shared" si="91"/>
        <v>29.43673647634137</v>
      </c>
      <c r="AV454" s="10">
        <f t="shared" si="91"/>
        <v>43.87842883424721</v>
      </c>
      <c r="AW454" s="10" t="e">
        <f t="shared" si="91"/>
        <v>#DIV/0!</v>
      </c>
      <c r="AX454" s="10" t="e">
        <f t="shared" si="91"/>
        <v>#DIV/0!</v>
      </c>
      <c r="AY454" s="10" t="e">
        <f t="shared" si="91"/>
        <v>#DIV/0!</v>
      </c>
      <c r="AZ454" s="10">
        <f t="shared" si="91"/>
        <v>65.587191356906729</v>
      </c>
      <c r="BA454" s="10">
        <f t="shared" si="91"/>
        <v>71.823685457982549</v>
      </c>
      <c r="BB454" s="10">
        <f t="shared" si="91"/>
        <v>46.814592481975872</v>
      </c>
    </row>
    <row r="455" spans="1:54">
      <c r="A455" s="8" t="s">
        <v>196</v>
      </c>
      <c r="C455" s="10">
        <f>ABS(C438-C$436)/(C$436-C$435)*100</f>
        <v>83.361219883744127</v>
      </c>
      <c r="D455" s="10">
        <f t="shared" si="86"/>
        <v>66.17187256627426</v>
      </c>
      <c r="E455" s="10">
        <f t="shared" si="86"/>
        <v>58.089281504826552</v>
      </c>
      <c r="F455" s="10">
        <f t="shared" si="86"/>
        <v>62.378957310223292</v>
      </c>
      <c r="G455" s="10">
        <f t="shared" si="86"/>
        <v>67.589422267987388</v>
      </c>
      <c r="H455" s="10"/>
      <c r="I455" s="10"/>
      <c r="J455" s="10">
        <f>ABS(J438-J$436)/(J$436-J$435)*100</f>
        <v>77.453709377548833</v>
      </c>
      <c r="K455" s="10">
        <f>ABS(K438-K$436)/(K$436-K$435)*100</f>
        <v>84.785211390202335</v>
      </c>
      <c r="L455" s="10">
        <f>ABS(L438-L$436)/(L$436-L$435)*100</f>
        <v>66.419248105935267</v>
      </c>
      <c r="M455" s="10">
        <f>ABS(M438-M$436)/(M$436-M$435)*100</f>
        <v>83.321075635019156</v>
      </c>
      <c r="N455" s="10">
        <f>ABS(N438-N$436)/(N$436-N$435)*100</f>
        <v>69.589776603904127</v>
      </c>
      <c r="O455" s="10">
        <f t="shared" si="87"/>
        <v>97.884177998236424</v>
      </c>
      <c r="P455" s="10"/>
      <c r="Q455" s="10"/>
      <c r="R455" s="10">
        <f>ABS(R438-R$436)/(R$436-R$435)*100</f>
        <v>86.703940173493777</v>
      </c>
      <c r="S455" s="10">
        <f>ABS(S438-S$436)/(S$436-S$435)*100</f>
        <v>84.039300167864667</v>
      </c>
      <c r="T455" s="10">
        <f>ABS(T438-T$436)/(T$436-T$435)*100</f>
        <v>77.645671172230749</v>
      </c>
      <c r="U455" s="10">
        <f>ABS(U438-U$436)/(U$436-U$435)*100</f>
        <v>77.459285324749388</v>
      </c>
      <c r="V455" s="10">
        <f>ABS(V438-V$436)/(V$436-V$435)*100</f>
        <v>85.961024025428287</v>
      </c>
      <c r="W455" s="10"/>
      <c r="X455" s="10"/>
      <c r="Y455" s="10">
        <f t="shared" ref="Y455:BB455" si="92">ABS(Y438-Y$436)/(Y$436-Y$435)*100</f>
        <v>70.061183914131234</v>
      </c>
      <c r="Z455" s="10">
        <f t="shared" si="92"/>
        <v>63.250896378090879</v>
      </c>
      <c r="AA455" s="10">
        <f t="shared" si="92"/>
        <v>85.536364395848423</v>
      </c>
      <c r="AB455" s="10">
        <f t="shared" si="92"/>
        <v>78.256785131488542</v>
      </c>
      <c r="AC455" s="10">
        <f t="shared" si="92"/>
        <v>73.423683989902784</v>
      </c>
      <c r="AD455" s="10">
        <f t="shared" si="92"/>
        <v>73.675959057463217</v>
      </c>
      <c r="AE455" s="10">
        <f t="shared" si="92"/>
        <v>72.174094494103414</v>
      </c>
      <c r="AF455" s="10">
        <f t="shared" si="92"/>
        <v>79.627466099478767</v>
      </c>
      <c r="AG455" s="10">
        <f t="shared" si="92"/>
        <v>89.704719617843182</v>
      </c>
      <c r="AH455" s="10">
        <f t="shared" si="92"/>
        <v>88.18652897037893</v>
      </c>
      <c r="AI455" s="10">
        <f t="shared" si="92"/>
        <v>67.496099779294553</v>
      </c>
      <c r="AJ455" s="10">
        <f t="shared" si="92"/>
        <v>87.756387616931036</v>
      </c>
      <c r="AK455" s="10">
        <f t="shared" si="92"/>
        <v>83.104286134026225</v>
      </c>
      <c r="AL455" s="10">
        <f t="shared" si="92"/>
        <v>73.003325568633571</v>
      </c>
      <c r="AM455" s="10">
        <f t="shared" si="92"/>
        <v>76.105686791257583</v>
      </c>
      <c r="AN455" s="10">
        <f t="shared" si="92"/>
        <v>90.287610053822206</v>
      </c>
      <c r="AO455" s="10">
        <f t="shared" si="92"/>
        <v>90.694943784726263</v>
      </c>
      <c r="AP455" s="10">
        <f t="shared" si="92"/>
        <v>82.273514207025315</v>
      </c>
      <c r="AQ455" s="10">
        <f t="shared" si="92"/>
        <v>88.702745432818503</v>
      </c>
      <c r="AR455" s="10">
        <f t="shared" si="92"/>
        <v>73.652792838865395</v>
      </c>
      <c r="AS455" s="10">
        <f t="shared" si="92"/>
        <v>84.15383719638487</v>
      </c>
      <c r="AT455" s="10">
        <f t="shared" si="92"/>
        <v>75.6367261133054</v>
      </c>
      <c r="AU455" s="10">
        <f t="shared" si="92"/>
        <v>68.437317894667842</v>
      </c>
      <c r="AV455" s="10">
        <f t="shared" si="92"/>
        <v>68.595724499488114</v>
      </c>
      <c r="AW455" s="10" t="e">
        <f t="shared" si="92"/>
        <v>#DIV/0!</v>
      </c>
      <c r="AX455" s="10" t="e">
        <f t="shared" si="92"/>
        <v>#DIV/0!</v>
      </c>
      <c r="AY455" s="10" t="e">
        <f t="shared" si="92"/>
        <v>#DIV/0!</v>
      </c>
      <c r="AZ455" s="10">
        <f t="shared" si="92"/>
        <v>93.094519393777603</v>
      </c>
      <c r="BA455" s="10">
        <f t="shared" si="92"/>
        <v>88.093017212861753</v>
      </c>
      <c r="BB455" s="10">
        <f t="shared" si="92"/>
        <v>84.989576746972432</v>
      </c>
    </row>
    <row r="456" spans="1:54">
      <c r="A456" s="8">
        <f>A3</f>
        <v>0</v>
      </c>
      <c r="B456" s="292">
        <v>80</v>
      </c>
      <c r="C456" s="293">
        <f>ABS(C440-C$436)/(C$436-C$435)*100</f>
        <v>129.77902282078088</v>
      </c>
      <c r="D456" s="293">
        <f t="shared" si="86"/>
        <v>-86.729560309481457</v>
      </c>
      <c r="E456" s="293">
        <f t="shared" si="86"/>
        <v>-153.25850511710325</v>
      </c>
      <c r="F456" s="293">
        <f t="shared" si="86"/>
        <v>-1810.9212661223551</v>
      </c>
      <c r="G456" s="293">
        <f t="shared" si="86"/>
        <v>-1995.6877435973265</v>
      </c>
      <c r="H456" s="293"/>
      <c r="I456" s="293"/>
      <c r="J456" s="293">
        <f t="shared" ref="J456:N458" si="93">ABS(J440-J$436)/(J$436-J$435)*100</f>
        <v>154.93872052699345</v>
      </c>
      <c r="K456" s="293">
        <f t="shared" si="93"/>
        <v>163.54685634541028</v>
      </c>
      <c r="L456" s="293">
        <f t="shared" si="93"/>
        <v>147.45926458903764</v>
      </c>
      <c r="M456" s="293">
        <f t="shared" si="93"/>
        <v>134.68744911814144</v>
      </c>
      <c r="N456" s="293">
        <f t="shared" si="93"/>
        <v>220.68879713690683</v>
      </c>
      <c r="O456" s="293">
        <f t="shared" si="87"/>
        <v>-163.35170273439257</v>
      </c>
      <c r="P456" s="293"/>
      <c r="Q456" s="293"/>
      <c r="R456" s="293">
        <f t="shared" ref="R456:V458" si="94">ABS(R440-R$436)/(R$436-R$435)*100</f>
        <v>139.52140674038768</v>
      </c>
      <c r="S456" s="293">
        <f t="shared" si="94"/>
        <v>212.26933490749303</v>
      </c>
      <c r="T456" s="293">
        <f t="shared" si="94"/>
        <v>116.15433064409501</v>
      </c>
      <c r="U456" s="293">
        <f t="shared" si="94"/>
        <v>111.48061145421553</v>
      </c>
      <c r="V456" s="293">
        <f t="shared" si="94"/>
        <v>118.03040045989783</v>
      </c>
      <c r="W456" s="293"/>
      <c r="X456" s="293"/>
      <c r="Y456" s="293">
        <f t="shared" ref="Y456:BB456" si="95">ABS(Y440-Y$436)/(Y$436-Y$435)*100</f>
        <v>300.08033383170061</v>
      </c>
      <c r="Z456" s="293">
        <f t="shared" si="95"/>
        <v>260.09569112952931</v>
      </c>
      <c r="AA456" s="293">
        <f t="shared" si="95"/>
        <v>158.54189697031453</v>
      </c>
      <c r="AB456" s="293">
        <f t="shared" si="95"/>
        <v>109.78802032541188</v>
      </c>
      <c r="AC456" s="293">
        <f t="shared" si="95"/>
        <v>109.11698618348713</v>
      </c>
      <c r="AD456" s="293">
        <f t="shared" si="95"/>
        <v>117.77603758809711</v>
      </c>
      <c r="AE456" s="293">
        <f t="shared" ref="AE456:AQ456" si="96">IF(AE440="…",110,ABS(AE440-AE$436)/(AE$436-AE$435)*100)</f>
        <v>135.72306514307701</v>
      </c>
      <c r="AF456" s="293">
        <f t="shared" si="96"/>
        <v>125.43359700858359</v>
      </c>
      <c r="AG456" s="293">
        <f t="shared" si="96"/>
        <v>134.25361631617784</v>
      </c>
      <c r="AH456" s="293">
        <f t="shared" si="96"/>
        <v>125.03162528091896</v>
      </c>
      <c r="AI456" s="293">
        <f t="shared" si="96"/>
        <v>143.84441508518046</v>
      </c>
      <c r="AJ456" s="293">
        <f t="shared" si="96"/>
        <v>117.42803132154258</v>
      </c>
      <c r="AK456" s="293">
        <f t="shared" si="96"/>
        <v>117.70220625338548</v>
      </c>
      <c r="AL456" s="293">
        <f t="shared" si="96"/>
        <v>164.66711652594984</v>
      </c>
      <c r="AM456" s="293">
        <f t="shared" si="96"/>
        <v>161.30252224403091</v>
      </c>
      <c r="AN456" s="293">
        <f t="shared" si="96"/>
        <v>119.09927641076654</v>
      </c>
      <c r="AO456" s="293">
        <f t="shared" si="96"/>
        <v>105.12901934240193</v>
      </c>
      <c r="AP456" s="293">
        <f t="shared" si="96"/>
        <v>112.03881504917257</v>
      </c>
      <c r="AQ456" s="293">
        <f t="shared" si="96"/>
        <v>105.74515150871373</v>
      </c>
      <c r="AR456" s="293">
        <f t="shared" si="95"/>
        <v>187.98016382583691</v>
      </c>
      <c r="AS456" s="293">
        <f t="shared" si="95"/>
        <v>152.68713907051119</v>
      </c>
      <c r="AT456" s="293">
        <f t="shared" si="95"/>
        <v>166.15464984822086</v>
      </c>
      <c r="AU456" s="293">
        <f t="shared" si="95"/>
        <v>214.72985615665382</v>
      </c>
      <c r="AV456" s="293">
        <f t="shared" si="95"/>
        <v>123.7783919773443</v>
      </c>
      <c r="AW456" s="293" t="e">
        <f t="shared" si="95"/>
        <v>#DIV/0!</v>
      </c>
      <c r="AX456" s="293" t="e">
        <f t="shared" si="95"/>
        <v>#DIV/0!</v>
      </c>
      <c r="AY456" s="293" t="e">
        <f t="shared" si="95"/>
        <v>#DIV/0!</v>
      </c>
      <c r="AZ456" s="293">
        <f t="shared" si="95"/>
        <v>100</v>
      </c>
      <c r="BA456" s="293">
        <f t="shared" si="95"/>
        <v>100</v>
      </c>
      <c r="BB456" s="293">
        <f t="shared" si="95"/>
        <v>115.82991259614049</v>
      </c>
    </row>
    <row r="457" spans="1:54">
      <c r="A457" s="8" t="s">
        <v>16</v>
      </c>
      <c r="B457" s="8">
        <v>40</v>
      </c>
      <c r="C457" s="10">
        <f>ABS(C441-C$436)/(C$436-C$435)*100</f>
        <v>71.728465918923774</v>
      </c>
      <c r="D457" s="10">
        <f t="shared" si="86"/>
        <v>56.514954549696917</v>
      </c>
      <c r="E457" s="10">
        <f t="shared" si="86"/>
        <v>44.726590261431632</v>
      </c>
      <c r="F457" s="10">
        <f t="shared" si="86"/>
        <v>54.396344698329045</v>
      </c>
      <c r="G457" s="10">
        <f t="shared" si="86"/>
        <v>56.614423016775362</v>
      </c>
      <c r="H457" s="10"/>
      <c r="I457" s="10"/>
      <c r="J457" s="10">
        <f t="shared" si="93"/>
        <v>61.177078108996433</v>
      </c>
      <c r="K457" s="10">
        <f t="shared" si="93"/>
        <v>68.32360432506502</v>
      </c>
      <c r="L457" s="10">
        <f t="shared" si="93"/>
        <v>49.797126749782628</v>
      </c>
      <c r="M457" s="10">
        <f t="shared" si="93"/>
        <v>69.563815111407862</v>
      </c>
      <c r="N457" s="10">
        <f t="shared" si="93"/>
        <v>55.006480975744878</v>
      </c>
      <c r="O457" s="10">
        <f t="shared" si="87"/>
        <v>87.312561579184717</v>
      </c>
      <c r="P457" s="10"/>
      <c r="Q457" s="10"/>
      <c r="R457" s="10">
        <f t="shared" si="94"/>
        <v>68.560781339367921</v>
      </c>
      <c r="S457" s="10">
        <f t="shared" si="94"/>
        <v>65.888645591022154</v>
      </c>
      <c r="T457" s="10">
        <f t="shared" si="94"/>
        <v>60.818107218201824</v>
      </c>
      <c r="U457" s="10">
        <f t="shared" si="94"/>
        <v>60.754224341062844</v>
      </c>
      <c r="V457" s="10">
        <f t="shared" si="94"/>
        <v>72.101660844592857</v>
      </c>
      <c r="W457" s="10"/>
      <c r="X457" s="10"/>
      <c r="Y457" s="10">
        <f t="shared" ref="Y457:BB457" si="97">ABS(Y441-Y$436)/(Y$436-Y$435)*100</f>
        <v>53.052604478649542</v>
      </c>
      <c r="Z457" s="10">
        <f t="shared" si="97"/>
        <v>48.363076142663417</v>
      </c>
      <c r="AA457" s="10">
        <f t="shared" si="97"/>
        <v>63.523348107241063</v>
      </c>
      <c r="AB457" s="10">
        <f t="shared" si="97"/>
        <v>68.702695801392821</v>
      </c>
      <c r="AC457" s="10">
        <f t="shared" si="97"/>
        <v>61.714092058733563</v>
      </c>
      <c r="AD457" s="10">
        <f t="shared" si="97"/>
        <v>58.766645135106025</v>
      </c>
      <c r="AE457" s="10">
        <f t="shared" si="97"/>
        <v>51.063210137865653</v>
      </c>
      <c r="AF457" s="10">
        <f t="shared" si="97"/>
        <v>60.243880317796297</v>
      </c>
      <c r="AG457" s="10">
        <f t="shared" si="97"/>
        <v>76.716056524653837</v>
      </c>
      <c r="AH457" s="10">
        <f t="shared" si="97"/>
        <v>74.408771250757994</v>
      </c>
      <c r="AI457" s="10">
        <f t="shared" si="97"/>
        <v>48.846899934380062</v>
      </c>
      <c r="AJ457" s="10">
        <f t="shared" si="97"/>
        <v>68.669255348398593</v>
      </c>
      <c r="AK457" s="10">
        <f t="shared" si="97"/>
        <v>62.774703031979939</v>
      </c>
      <c r="AL457" s="10">
        <f t="shared" si="97"/>
        <v>62.880341505175807</v>
      </c>
      <c r="AM457" s="10">
        <f t="shared" si="97"/>
        <v>61.479241073642669</v>
      </c>
      <c r="AN457" s="10">
        <f t="shared" si="97"/>
        <v>80.925812926778519</v>
      </c>
      <c r="AO457" s="10">
        <f t="shared" si="97"/>
        <v>75.339436771757235</v>
      </c>
      <c r="AP457" s="10">
        <f t="shared" si="97"/>
        <v>64.121954850210216</v>
      </c>
      <c r="AQ457" s="10">
        <f t="shared" si="97"/>
        <v>75.382138915616594</v>
      </c>
      <c r="AR457" s="10">
        <f t="shared" si="97"/>
        <v>61.50640276645435</v>
      </c>
      <c r="AS457" s="10">
        <f t="shared" si="97"/>
        <v>70.210655434973233</v>
      </c>
      <c r="AT457" s="10">
        <f t="shared" si="97"/>
        <v>58.04062299345614</v>
      </c>
      <c r="AU457" s="10">
        <f t="shared" si="97"/>
        <v>52.127638159401336</v>
      </c>
      <c r="AV457" s="10">
        <f t="shared" si="97"/>
        <v>56.085072773329912</v>
      </c>
      <c r="AW457" s="10" t="e">
        <f t="shared" si="97"/>
        <v>#DIV/0!</v>
      </c>
      <c r="AX457" s="10" t="e">
        <f t="shared" si="97"/>
        <v>#DIV/0!</v>
      </c>
      <c r="AY457" s="10" t="e">
        <f t="shared" si="97"/>
        <v>#DIV/0!</v>
      </c>
      <c r="AZ457" s="10">
        <f t="shared" si="97"/>
        <v>70.395887583356739</v>
      </c>
      <c r="BA457" s="10">
        <f t="shared" si="97"/>
        <v>70.50422312571348</v>
      </c>
      <c r="BB457" s="10">
        <f t="shared" si="97"/>
        <v>58.710098983494873</v>
      </c>
    </row>
    <row r="458" spans="1:54">
      <c r="A458" s="8">
        <f>A2</f>
        <v>0</v>
      </c>
      <c r="B458" s="8">
        <v>15</v>
      </c>
      <c r="C458" s="10">
        <f>ABS(C442-C$436)/(C$436-C$435)*100</f>
        <v>129.77902282078088</v>
      </c>
      <c r="D458" s="10">
        <f t="shared" si="86"/>
        <v>-86.729560309481457</v>
      </c>
      <c r="E458" s="10">
        <f t="shared" si="86"/>
        <v>-153.25850511710325</v>
      </c>
      <c r="F458" s="10">
        <f t="shared" si="86"/>
        <v>-1810.9212661223551</v>
      </c>
      <c r="G458" s="10">
        <f t="shared" si="86"/>
        <v>-1995.6877435973265</v>
      </c>
      <c r="H458" s="10"/>
      <c r="I458" s="10"/>
      <c r="J458" s="10">
        <f t="shared" si="93"/>
        <v>154.93872052699345</v>
      </c>
      <c r="K458" s="10">
        <f t="shared" si="93"/>
        <v>163.54685634541028</v>
      </c>
      <c r="L458" s="10">
        <f t="shared" si="93"/>
        <v>147.45926458903764</v>
      </c>
      <c r="M458" s="10">
        <f t="shared" si="93"/>
        <v>134.68744911814144</v>
      </c>
      <c r="N458" s="10">
        <f t="shared" si="93"/>
        <v>220.68879713690683</v>
      </c>
      <c r="O458" s="10">
        <f t="shared" si="87"/>
        <v>-163.35170273439257</v>
      </c>
      <c r="P458" s="10"/>
      <c r="Q458" s="10"/>
      <c r="R458" s="10">
        <f t="shared" si="94"/>
        <v>139.52140674038768</v>
      </c>
      <c r="S458" s="10">
        <f t="shared" si="94"/>
        <v>212.26933490749303</v>
      </c>
      <c r="T458" s="10">
        <f t="shared" si="94"/>
        <v>116.15433064409501</v>
      </c>
      <c r="U458" s="10">
        <f t="shared" si="94"/>
        <v>111.48061145421553</v>
      </c>
      <c r="V458" s="10">
        <f t="shared" si="94"/>
        <v>118.03040045989783</v>
      </c>
      <c r="W458" s="10"/>
      <c r="X458" s="10"/>
      <c r="Y458" s="10">
        <f t="shared" ref="Y458:BB458" si="98">ABS(Y442-Y$436)/(Y$436-Y$435)*100</f>
        <v>300.08033383170061</v>
      </c>
      <c r="Z458" s="10">
        <f t="shared" si="98"/>
        <v>260.09569112952931</v>
      </c>
      <c r="AA458" s="10">
        <f t="shared" si="98"/>
        <v>158.54189697031453</v>
      </c>
      <c r="AB458" s="10">
        <f t="shared" si="98"/>
        <v>109.78802032541188</v>
      </c>
      <c r="AC458" s="10">
        <f t="shared" si="98"/>
        <v>109.11698618348713</v>
      </c>
      <c r="AD458" s="10">
        <f t="shared" si="98"/>
        <v>117.77603758809711</v>
      </c>
      <c r="AE458" s="10">
        <f t="shared" si="98"/>
        <v>135.72306514307701</v>
      </c>
      <c r="AF458" s="10">
        <f t="shared" si="98"/>
        <v>125.43359700858359</v>
      </c>
      <c r="AG458" s="10">
        <f t="shared" si="98"/>
        <v>134.25361631617784</v>
      </c>
      <c r="AH458" s="10">
        <f t="shared" si="98"/>
        <v>125.03162528091896</v>
      </c>
      <c r="AI458" s="10">
        <f t="shared" si="98"/>
        <v>143.84441508518046</v>
      </c>
      <c r="AJ458" s="10">
        <f t="shared" si="98"/>
        <v>117.42803132154258</v>
      </c>
      <c r="AK458" s="10">
        <f t="shared" si="98"/>
        <v>117.70220625338548</v>
      </c>
      <c r="AL458" s="10">
        <f t="shared" si="98"/>
        <v>164.66711652594984</v>
      </c>
      <c r="AM458" s="10">
        <f t="shared" si="98"/>
        <v>161.30252224403091</v>
      </c>
      <c r="AN458" s="10">
        <f t="shared" si="98"/>
        <v>119.09927641076654</v>
      </c>
      <c r="AO458" s="10">
        <f t="shared" si="98"/>
        <v>105.12901934240193</v>
      </c>
      <c r="AP458" s="10">
        <f t="shared" si="98"/>
        <v>112.03881504917257</v>
      </c>
      <c r="AQ458" s="10">
        <f t="shared" si="98"/>
        <v>105.74515150871373</v>
      </c>
      <c r="AR458" s="10">
        <f t="shared" si="98"/>
        <v>187.98016382583691</v>
      </c>
      <c r="AS458" s="10">
        <f t="shared" si="98"/>
        <v>152.68713907051119</v>
      </c>
      <c r="AT458" s="10">
        <f t="shared" si="98"/>
        <v>166.15464984822086</v>
      </c>
      <c r="AU458" s="10">
        <f t="shared" si="98"/>
        <v>214.72985615665382</v>
      </c>
      <c r="AV458" s="10">
        <f t="shared" si="98"/>
        <v>123.7783919773443</v>
      </c>
      <c r="AW458" s="10" t="e">
        <f t="shared" si="98"/>
        <v>#DIV/0!</v>
      </c>
      <c r="AX458" s="10" t="e">
        <f t="shared" si="98"/>
        <v>#DIV/0!</v>
      </c>
      <c r="AY458" s="10" t="e">
        <f t="shared" si="98"/>
        <v>#DIV/0!</v>
      </c>
      <c r="AZ458" s="10">
        <f t="shared" si="98"/>
        <v>100</v>
      </c>
      <c r="BA458" s="10">
        <f t="shared" si="98"/>
        <v>100</v>
      </c>
      <c r="BB458" s="10">
        <f t="shared" si="98"/>
        <v>115.82991259614049</v>
      </c>
    </row>
    <row r="460" spans="1:54">
      <c r="A460" s="8" t="s">
        <v>197</v>
      </c>
      <c r="B460" s="8">
        <v>25</v>
      </c>
      <c r="C460" s="10">
        <f t="shared" ref="C460:G460" si="99">C454</f>
        <v>51.946854146241719</v>
      </c>
      <c r="D460" s="10">
        <f t="shared" si="99"/>
        <v>34.343118222695928</v>
      </c>
      <c r="E460" s="10">
        <f t="shared" si="99"/>
        <v>19.606563765011362</v>
      </c>
      <c r="F460" s="10">
        <f t="shared" si="99"/>
        <v>41.536301636551357</v>
      </c>
      <c r="G460" s="10">
        <f t="shared" si="99"/>
        <v>43.649226824127098</v>
      </c>
      <c r="H460" s="10"/>
      <c r="I460" s="10"/>
      <c r="J460" s="10">
        <f>J454</f>
        <v>46.165050866776859</v>
      </c>
      <c r="K460" s="10">
        <f>K454</f>
        <v>55.814566209339844</v>
      </c>
      <c r="L460" s="10">
        <f t="shared" ref="L460:M460" si="100">L454</f>
        <v>34.012454543469865</v>
      </c>
      <c r="M460" s="10">
        <f t="shared" si="100"/>
        <v>68.433566476864854</v>
      </c>
      <c r="N460" s="10">
        <f t="shared" ref="N460" si="101">N454</f>
        <v>30.348180222372221</v>
      </c>
      <c r="O460" s="10">
        <f>O454</f>
        <v>81.882117665358578</v>
      </c>
      <c r="P460" s="10"/>
      <c r="Q460" s="10"/>
      <c r="R460" s="10">
        <f>R454</f>
        <v>57.52747654920077</v>
      </c>
      <c r="S460" s="10">
        <f>S454</f>
        <v>62.063753414069225</v>
      </c>
      <c r="T460" s="10">
        <f>T454</f>
        <v>50.02013349218322</v>
      </c>
      <c r="U460" s="10">
        <f>U454</f>
        <v>48.51622099046066</v>
      </c>
      <c r="V460" s="10">
        <f>V454</f>
        <v>53.312154590009854</v>
      </c>
      <c r="W460" s="10"/>
      <c r="X460" s="10"/>
      <c r="Y460" s="10">
        <f t="shared" ref="Y460:AD460" si="102">Y454</f>
        <v>39.138835137666241</v>
      </c>
      <c r="Z460" s="10">
        <f t="shared" si="102"/>
        <v>34.855661257077713</v>
      </c>
      <c r="AA460" s="10">
        <f t="shared" si="102"/>
        <v>40.518185171502864</v>
      </c>
      <c r="AB460" s="10">
        <f t="shared" si="102"/>
        <v>60.790251357421987</v>
      </c>
      <c r="AC460" s="10">
        <f t="shared" si="102"/>
        <v>56.095487049581763</v>
      </c>
      <c r="AD460" s="10">
        <f t="shared" si="102"/>
        <v>50.010944725429454</v>
      </c>
      <c r="AE460" s="10">
        <f>AE454</f>
        <v>37.42979835469874</v>
      </c>
      <c r="AF460" s="10">
        <f>AF454</f>
        <v>50.926974177213488</v>
      </c>
      <c r="AG460" s="10">
        <f t="shared" ref="AG460:AQ460" si="103">AG454</f>
        <v>68.249670466139349</v>
      </c>
      <c r="AH460" s="10">
        <f t="shared" si="103"/>
        <v>61.848198330420367</v>
      </c>
      <c r="AI460" s="10">
        <f t="shared" si="103"/>
        <v>38.247137892429564</v>
      </c>
      <c r="AJ460" s="10">
        <f t="shared" si="103"/>
        <v>52.001311718163869</v>
      </c>
      <c r="AK460" s="10">
        <f t="shared" si="103"/>
        <v>48.117124450814359</v>
      </c>
      <c r="AL460" s="10">
        <f t="shared" si="103"/>
        <v>55.025314036616088</v>
      </c>
      <c r="AM460" s="10">
        <f t="shared" si="103"/>
        <v>54.260233599570142</v>
      </c>
      <c r="AN460" s="10">
        <f t="shared" si="103"/>
        <v>73.653059770163125</v>
      </c>
      <c r="AO460" s="10">
        <f t="shared" si="103"/>
        <v>68.791603469485793</v>
      </c>
      <c r="AP460" s="10">
        <f t="shared" si="103"/>
        <v>50.199728121681616</v>
      </c>
      <c r="AQ460" s="10">
        <f t="shared" si="103"/>
        <v>65.348850616954493</v>
      </c>
      <c r="AR460" s="10">
        <f t="shared" ref="AR460:AY460" si="104">AR454</f>
        <v>42.847548107000918</v>
      </c>
      <c r="AS460" s="10">
        <f t="shared" si="104"/>
        <v>57.238990663624847</v>
      </c>
      <c r="AT460" s="10">
        <f t="shared" si="104"/>
        <v>39.262103557453514</v>
      </c>
      <c r="AU460" s="10">
        <f t="shared" si="104"/>
        <v>29.43673647634137</v>
      </c>
      <c r="AV460" s="10">
        <f t="shared" si="104"/>
        <v>43.87842883424721</v>
      </c>
      <c r="AW460" s="10" t="e">
        <f t="shared" si="104"/>
        <v>#DIV/0!</v>
      </c>
      <c r="AX460" s="10" t="e">
        <f t="shared" si="104"/>
        <v>#DIV/0!</v>
      </c>
      <c r="AY460" s="10" t="e">
        <f t="shared" si="104"/>
        <v>#DIV/0!</v>
      </c>
      <c r="AZ460" s="10">
        <f>AZ454</f>
        <v>65.587191356906729</v>
      </c>
      <c r="BA460" s="10">
        <f>BA454</f>
        <v>71.823685457982549</v>
      </c>
      <c r="BB460" s="10">
        <f>BB454</f>
        <v>46.814592481975872</v>
      </c>
    </row>
    <row r="461" spans="1:54">
      <c r="A461" s="8" t="s">
        <v>198</v>
      </c>
      <c r="B461" s="8">
        <v>25</v>
      </c>
      <c r="C461" s="10">
        <f t="shared" ref="C461:G461" si="105">C453-C454</f>
        <v>20.52336551353234</v>
      </c>
      <c r="D461" s="10">
        <f t="shared" si="105"/>
        <v>14.384300994682299</v>
      </c>
      <c r="E461" s="10">
        <f t="shared" si="105"/>
        <v>13.658007313207431</v>
      </c>
      <c r="F461" s="10">
        <f t="shared" si="105"/>
        <v>8.256639333987188</v>
      </c>
      <c r="G461" s="10">
        <f t="shared" si="105"/>
        <v>12.895688460441654</v>
      </c>
      <c r="H461" s="10"/>
      <c r="I461" s="10"/>
      <c r="J461" s="10">
        <f>J453-J454</f>
        <v>23.873319887895001</v>
      </c>
      <c r="K461" s="10">
        <f>K453-K454</f>
        <v>21.029309400383411</v>
      </c>
      <c r="L461" s="10">
        <f t="shared" ref="L461:M461" si="106">L453-L454</f>
        <v>18.965227638232051</v>
      </c>
      <c r="M461" s="10">
        <f t="shared" si="106"/>
        <v>9.588258740195144</v>
      </c>
      <c r="N461" s="10">
        <f t="shared" ref="N461" si="107">N453-N454</f>
        <v>19.344966711038161</v>
      </c>
      <c r="O461" s="10">
        <f>O453-O454</f>
        <v>8.7810508627242427</v>
      </c>
      <c r="P461" s="10"/>
      <c r="Q461" s="10"/>
      <c r="R461" s="10">
        <f>R453-R454</f>
        <v>10.669220151442858</v>
      </c>
      <c r="S461" s="10">
        <f>S453-S454</f>
        <v>13.213016337303998</v>
      </c>
      <c r="T461" s="10">
        <f>T453-T454</f>
        <v>18.254219896236947</v>
      </c>
      <c r="U461" s="10">
        <f>U453-U454</f>
        <v>16.846231366347503</v>
      </c>
      <c r="V461" s="10">
        <f>V453-V454</f>
        <v>17.455972470882116</v>
      </c>
      <c r="W461" s="10"/>
      <c r="X461" s="10"/>
      <c r="Y461" s="10">
        <f t="shared" ref="Y461:AD461" si="108">Y453-Y454</f>
        <v>19.547355543913589</v>
      </c>
      <c r="Z461" s="10">
        <f t="shared" si="108"/>
        <v>15.940769147073581</v>
      </c>
      <c r="AA461" s="10">
        <f t="shared" si="108"/>
        <v>30.686947384839684</v>
      </c>
      <c r="AB461" s="10">
        <f t="shared" si="108"/>
        <v>10.10858971423486</v>
      </c>
      <c r="AC461" s="10">
        <f t="shared" si="108"/>
        <v>9.5297759726100395</v>
      </c>
      <c r="AD461" s="10">
        <f t="shared" si="108"/>
        <v>8.8722150868650047</v>
      </c>
      <c r="AE461" s="10">
        <f>AE453-AE454</f>
        <v>12.217311844245998</v>
      </c>
      <c r="AF461" s="10">
        <f>AF453-AF454</f>
        <v>17.030009270700411</v>
      </c>
      <c r="AG461" s="10">
        <f t="shared" ref="AG461:AQ461" si="109">AG453-AG454</f>
        <v>8.223960703463149</v>
      </c>
      <c r="AH461" s="10">
        <f t="shared" si="109"/>
        <v>14.077113709046948</v>
      </c>
      <c r="AI461" s="10">
        <f t="shared" si="109"/>
        <v>13.826339826088173</v>
      </c>
      <c r="AJ461" s="10">
        <f t="shared" si="109"/>
        <v>25.817535164691499</v>
      </c>
      <c r="AK461" s="10">
        <f t="shared" si="109"/>
        <v>22.377335685727459</v>
      </c>
      <c r="AL461" s="10">
        <f t="shared" si="109"/>
        <v>9.7131867070194247</v>
      </c>
      <c r="AM461" s="10">
        <f t="shared" si="109"/>
        <v>8.4090453404597696</v>
      </c>
      <c r="AN461" s="10">
        <f t="shared" si="109"/>
        <v>9.8705000108845127</v>
      </c>
      <c r="AO461" s="10">
        <f t="shared" si="109"/>
        <v>11.542466612153362</v>
      </c>
      <c r="AP461" s="10">
        <f t="shared" si="109"/>
        <v>13.986633987934681</v>
      </c>
      <c r="AQ461" s="10">
        <f t="shared" si="109"/>
        <v>11.88747995589631</v>
      </c>
      <c r="AR461" s="10">
        <f t="shared" ref="AR461:AY461" si="110">AR453-AR454</f>
        <v>18.867353049976835</v>
      </c>
      <c r="AS461" s="10">
        <f t="shared" si="110"/>
        <v>11.427434572835395</v>
      </c>
      <c r="AT461" s="10">
        <f t="shared" si="110"/>
        <v>17.62936140362131</v>
      </c>
      <c r="AU461" s="10">
        <f t="shared" si="110"/>
        <v>16.605302915239076</v>
      </c>
      <c r="AV461" s="10">
        <f t="shared" si="110"/>
        <v>12.112157391238796</v>
      </c>
      <c r="AW461" s="10" t="e">
        <f t="shared" si="110"/>
        <v>#DIV/0!</v>
      </c>
      <c r="AX461" s="10" t="e">
        <f t="shared" si="110"/>
        <v>#DIV/0!</v>
      </c>
      <c r="AY461" s="10" t="e">
        <f t="shared" si="110"/>
        <v>#DIV/0!</v>
      </c>
      <c r="AZ461" s="10">
        <f>AZ453-AZ454</f>
        <v>13.811599919020722</v>
      </c>
      <c r="BA461" s="10">
        <f>BA453-BA454</f>
        <v>7.9602504686642703</v>
      </c>
      <c r="BB461" s="10">
        <f>BB453-BB454</f>
        <v>19.622188695318805</v>
      </c>
    </row>
    <row r="462" spans="1:54">
      <c r="A462" s="8" t="s">
        <v>199</v>
      </c>
      <c r="B462" s="8">
        <v>25</v>
      </c>
      <c r="C462" s="10">
        <f t="shared" ref="C462:G462" si="111">C455-C453</f>
        <v>10.891000223970067</v>
      </c>
      <c r="D462" s="10">
        <f t="shared" si="111"/>
        <v>17.444453348896033</v>
      </c>
      <c r="E462" s="10">
        <f t="shared" si="111"/>
        <v>24.824710426607759</v>
      </c>
      <c r="F462" s="10">
        <f t="shared" si="111"/>
        <v>12.586016339684747</v>
      </c>
      <c r="G462" s="10">
        <f t="shared" si="111"/>
        <v>11.044506983418636</v>
      </c>
      <c r="H462" s="10"/>
      <c r="I462" s="10"/>
      <c r="J462" s="10">
        <f>J455-J453</f>
        <v>7.4153386228769733</v>
      </c>
      <c r="K462" s="10">
        <f>K455-K453</f>
        <v>7.9413357804790792</v>
      </c>
      <c r="L462" s="10">
        <f t="shared" ref="L462:M462" si="112">L455-L453</f>
        <v>13.441565924233352</v>
      </c>
      <c r="M462" s="10">
        <f t="shared" si="112"/>
        <v>5.2992504179591577</v>
      </c>
      <c r="N462" s="10">
        <f t="shared" ref="N462" si="113">N455-N453</f>
        <v>19.896629670493745</v>
      </c>
      <c r="O462" s="10">
        <f>O455-O453</f>
        <v>7.2210094701536036</v>
      </c>
      <c r="P462" s="10"/>
      <c r="Q462" s="10"/>
      <c r="R462" s="10">
        <f>R455-R453</f>
        <v>18.507243472850149</v>
      </c>
      <c r="S462" s="10">
        <f>S455-S453</f>
        <v>8.7625304164914439</v>
      </c>
      <c r="T462" s="10">
        <f>T455-T453</f>
        <v>9.3713177838105821</v>
      </c>
      <c r="U462" s="10">
        <f>U455-U453</f>
        <v>12.096832967941225</v>
      </c>
      <c r="V462" s="10">
        <f>V455-V453</f>
        <v>15.192896964536317</v>
      </c>
      <c r="W462" s="10"/>
      <c r="X462" s="10"/>
      <c r="Y462" s="10">
        <f t="shared" ref="Y462:AD462" si="114">Y455-Y453</f>
        <v>11.374993232551404</v>
      </c>
      <c r="Z462" s="10">
        <f t="shared" si="114"/>
        <v>12.454465973939584</v>
      </c>
      <c r="AA462" s="10">
        <f t="shared" si="114"/>
        <v>14.331231839505875</v>
      </c>
      <c r="AB462" s="10">
        <f t="shared" si="114"/>
        <v>7.357944059831695</v>
      </c>
      <c r="AC462" s="10">
        <f t="shared" si="114"/>
        <v>7.7984209677109817</v>
      </c>
      <c r="AD462" s="10">
        <f t="shared" si="114"/>
        <v>14.792799245168759</v>
      </c>
      <c r="AE462" s="10">
        <f>AE455-AE453</f>
        <v>22.526984295158677</v>
      </c>
      <c r="AF462" s="10">
        <f>AF455-AF453</f>
        <v>11.670482651564868</v>
      </c>
      <c r="AG462" s="10">
        <f t="shared" ref="AG462:AQ462" si="115">AG455-AG453</f>
        <v>13.231088448240683</v>
      </c>
      <c r="AH462" s="10">
        <f t="shared" si="115"/>
        <v>12.261216930911615</v>
      </c>
      <c r="AI462" s="10">
        <f t="shared" si="115"/>
        <v>15.422622060776817</v>
      </c>
      <c r="AJ462" s="10">
        <f t="shared" si="115"/>
        <v>9.9375407340756681</v>
      </c>
      <c r="AK462" s="10">
        <f t="shared" si="115"/>
        <v>12.609825997484407</v>
      </c>
      <c r="AL462" s="10">
        <f t="shared" si="115"/>
        <v>8.2648248249980583</v>
      </c>
      <c r="AM462" s="10">
        <f t="shared" si="115"/>
        <v>13.436407851227671</v>
      </c>
      <c r="AN462" s="10">
        <f t="shared" si="115"/>
        <v>6.7640502727745684</v>
      </c>
      <c r="AO462" s="10">
        <f t="shared" si="115"/>
        <v>10.360873703087108</v>
      </c>
      <c r="AP462" s="10">
        <f t="shared" si="115"/>
        <v>18.087152097409017</v>
      </c>
      <c r="AQ462" s="10">
        <f t="shared" si="115"/>
        <v>11.466414859967699</v>
      </c>
      <c r="AR462" s="10">
        <f t="shared" ref="AR462:AY462" si="116">AR455-AR453</f>
        <v>11.937891681887642</v>
      </c>
      <c r="AS462" s="10">
        <f t="shared" si="116"/>
        <v>15.487411959924628</v>
      </c>
      <c r="AT462" s="10">
        <f t="shared" si="116"/>
        <v>18.745261152230576</v>
      </c>
      <c r="AU462" s="10">
        <f t="shared" si="116"/>
        <v>22.395278503087397</v>
      </c>
      <c r="AV462" s="10">
        <f t="shared" si="116"/>
        <v>12.605138274002108</v>
      </c>
      <c r="AW462" s="10" t="e">
        <f t="shared" si="116"/>
        <v>#DIV/0!</v>
      </c>
      <c r="AX462" s="10" t="e">
        <f t="shared" si="116"/>
        <v>#DIV/0!</v>
      </c>
      <c r="AY462" s="10" t="e">
        <f t="shared" si="116"/>
        <v>#DIV/0!</v>
      </c>
      <c r="AZ462" s="10">
        <f>AZ455-AZ453</f>
        <v>13.695728117850152</v>
      </c>
      <c r="BA462" s="10">
        <f>BA455-BA453</f>
        <v>8.3090812862149335</v>
      </c>
      <c r="BB462" s="10">
        <f>BB455-BB453</f>
        <v>18.552795569677755</v>
      </c>
    </row>
    <row r="463" spans="1:54">
      <c r="A463" s="8" t="s">
        <v>200</v>
      </c>
      <c r="C463" s="10">
        <f t="shared" ref="C463:G463" si="117">C454-C451</f>
        <v>51.946854146241719</v>
      </c>
      <c r="D463" s="10">
        <f t="shared" si="117"/>
        <v>34.343118222695928</v>
      </c>
      <c r="E463" s="10">
        <f t="shared" si="117"/>
        <v>19.606563765011362</v>
      </c>
      <c r="F463" s="10">
        <f t="shared" si="117"/>
        <v>41.536301636551357</v>
      </c>
      <c r="G463" s="10">
        <f t="shared" si="117"/>
        <v>43.649226824127098</v>
      </c>
      <c r="H463" s="10"/>
      <c r="I463" s="10"/>
      <c r="J463" s="10">
        <f>J454-J451</f>
        <v>46.165050866776859</v>
      </c>
      <c r="K463" s="10">
        <f>K454-K451</f>
        <v>55.814566209339844</v>
      </c>
      <c r="L463" s="10">
        <f t="shared" ref="L463:M463" si="118">L454-L451</f>
        <v>34.012454543469865</v>
      </c>
      <c r="M463" s="10">
        <f t="shared" si="118"/>
        <v>68.433566476864854</v>
      </c>
      <c r="N463" s="10">
        <f t="shared" ref="N463" si="119">N454-N451</f>
        <v>30.348180222372221</v>
      </c>
      <c r="O463" s="10">
        <f>O454-O451</f>
        <v>81.882117665358578</v>
      </c>
      <c r="P463" s="10"/>
      <c r="Q463" s="10"/>
      <c r="R463" s="10">
        <f>R454-R451</f>
        <v>57.52747654920077</v>
      </c>
      <c r="S463" s="10">
        <f>S454-S451</f>
        <v>62.063753414069225</v>
      </c>
      <c r="T463" s="10">
        <f>T454-T451</f>
        <v>50.02013349218322</v>
      </c>
      <c r="U463" s="10">
        <f>U454-U451</f>
        <v>48.51622099046066</v>
      </c>
      <c r="V463" s="10">
        <f>V454-V451</f>
        <v>53.312154590009854</v>
      </c>
      <c r="W463" s="10"/>
      <c r="X463" s="10"/>
      <c r="Y463" s="10">
        <f t="shared" ref="Y463:AD463" si="120">Y454-Y451</f>
        <v>39.138835137666241</v>
      </c>
      <c r="Z463" s="10">
        <f t="shared" si="120"/>
        <v>34.855661257077713</v>
      </c>
      <c r="AA463" s="10">
        <f t="shared" si="120"/>
        <v>40.518185171502864</v>
      </c>
      <c r="AB463" s="10">
        <f t="shared" si="120"/>
        <v>60.790251357421987</v>
      </c>
      <c r="AC463" s="10">
        <f t="shared" si="120"/>
        <v>56.095487049581763</v>
      </c>
      <c r="AD463" s="10">
        <f t="shared" si="120"/>
        <v>50.010944725429454</v>
      </c>
      <c r="AE463" s="10">
        <f>AE454-AE451</f>
        <v>37.42979835469874</v>
      </c>
      <c r="AF463" s="10">
        <f>AF454-AF451</f>
        <v>50.926974177213488</v>
      </c>
      <c r="AG463" s="10">
        <f t="shared" ref="AG463:AQ463" si="121">AG454-AG451</f>
        <v>68.249670466139349</v>
      </c>
      <c r="AH463" s="10">
        <f t="shared" si="121"/>
        <v>61.848198330420367</v>
      </c>
      <c r="AI463" s="10">
        <f t="shared" si="121"/>
        <v>38.247137892429564</v>
      </c>
      <c r="AJ463" s="10">
        <f t="shared" si="121"/>
        <v>52.001311718163869</v>
      </c>
      <c r="AK463" s="10">
        <f t="shared" si="121"/>
        <v>48.117124450814359</v>
      </c>
      <c r="AL463" s="10">
        <f t="shared" si="121"/>
        <v>55.025314036616088</v>
      </c>
      <c r="AM463" s="10">
        <f t="shared" si="121"/>
        <v>54.260233599570142</v>
      </c>
      <c r="AN463" s="10">
        <f t="shared" si="121"/>
        <v>73.653059770163125</v>
      </c>
      <c r="AO463" s="10">
        <f t="shared" si="121"/>
        <v>68.791603469485793</v>
      </c>
      <c r="AP463" s="10">
        <f t="shared" si="121"/>
        <v>50.199728121681616</v>
      </c>
      <c r="AQ463" s="10">
        <f t="shared" si="121"/>
        <v>65.348850616954493</v>
      </c>
      <c r="AR463" s="10">
        <f t="shared" ref="AR463:AY463" si="122">AR454-AR451</f>
        <v>42.847548107000918</v>
      </c>
      <c r="AS463" s="10">
        <f t="shared" si="122"/>
        <v>57.238990663624847</v>
      </c>
      <c r="AT463" s="10">
        <f t="shared" si="122"/>
        <v>39.262103557453514</v>
      </c>
      <c r="AU463" s="10">
        <f t="shared" si="122"/>
        <v>29.43673647634137</v>
      </c>
      <c r="AV463" s="10">
        <f t="shared" si="122"/>
        <v>43.87842883424721</v>
      </c>
      <c r="AW463" s="10" t="e">
        <f t="shared" si="122"/>
        <v>#DIV/0!</v>
      </c>
      <c r="AX463" s="10" t="e">
        <f t="shared" si="122"/>
        <v>#DIV/0!</v>
      </c>
      <c r="AY463" s="10" t="e">
        <f t="shared" si="122"/>
        <v>#DIV/0!</v>
      </c>
      <c r="AZ463" s="10">
        <f>AZ454-AZ451</f>
        <v>65.587191356906729</v>
      </c>
      <c r="BA463" s="10">
        <f>BA454-BA451</f>
        <v>71.823685457982549</v>
      </c>
      <c r="BB463" s="10">
        <f>BB454-BB451</f>
        <v>46.814592481975872</v>
      </c>
    </row>
    <row r="464" spans="1:54">
      <c r="A464" s="8" t="s">
        <v>201</v>
      </c>
      <c r="B464" s="8">
        <v>25</v>
      </c>
      <c r="C464" s="10">
        <f t="shared" ref="C464:G464" si="123">C452-C455</f>
        <v>16.638780116255873</v>
      </c>
      <c r="D464" s="10">
        <f t="shared" si="123"/>
        <v>33.82812743372574</v>
      </c>
      <c r="E464" s="10">
        <f t="shared" si="123"/>
        <v>41.910718495173448</v>
      </c>
      <c r="F464" s="10">
        <f t="shared" si="123"/>
        <v>37.621042689776708</v>
      </c>
      <c r="G464" s="10">
        <f t="shared" si="123"/>
        <v>32.410577732012612</v>
      </c>
      <c r="H464" s="10"/>
      <c r="I464" s="10"/>
      <c r="J464" s="10">
        <f>J452-J455</f>
        <v>22.546290622451167</v>
      </c>
      <c r="K464" s="10">
        <f>K452-K455</f>
        <v>15.214788609797665</v>
      </c>
      <c r="L464" s="10">
        <f t="shared" ref="L464:M464" si="124">L452-L455</f>
        <v>33.580751894064733</v>
      </c>
      <c r="M464" s="10">
        <f t="shared" si="124"/>
        <v>16.678924364980844</v>
      </c>
      <c r="N464" s="10">
        <f t="shared" ref="N464" si="125">N452-N455</f>
        <v>30.410223396095873</v>
      </c>
      <c r="O464" s="10">
        <f>O452-O455</f>
        <v>2.1158220017635756</v>
      </c>
      <c r="P464" s="10"/>
      <c r="Q464" s="10"/>
      <c r="R464" s="10">
        <f>R452-R455</f>
        <v>13.296059826506223</v>
      </c>
      <c r="S464" s="10">
        <f>S452-S455</f>
        <v>15.960699832135333</v>
      </c>
      <c r="T464" s="10">
        <f>T452-T455</f>
        <v>22.354328827769251</v>
      </c>
      <c r="U464" s="10">
        <f>U452-U455</f>
        <v>22.540714675250612</v>
      </c>
      <c r="V464" s="10">
        <f>V452-V455</f>
        <v>14.038975974571713</v>
      </c>
      <c r="W464" s="10"/>
      <c r="X464" s="10"/>
      <c r="Y464" s="10">
        <f t="shared" ref="Y464:AD464" si="126">Y452-Y455</f>
        <v>29.938816085868766</v>
      </c>
      <c r="Z464" s="10">
        <f t="shared" si="126"/>
        <v>36.749103621909121</v>
      </c>
      <c r="AA464" s="10">
        <f t="shared" si="126"/>
        <v>14.463635604151577</v>
      </c>
      <c r="AB464" s="10">
        <f t="shared" si="126"/>
        <v>21.743214868511458</v>
      </c>
      <c r="AC464" s="10">
        <f t="shared" si="126"/>
        <v>26.576316010097216</v>
      </c>
      <c r="AD464" s="10">
        <f t="shared" si="126"/>
        <v>26.324040942536783</v>
      </c>
      <c r="AE464" s="10">
        <f>AE452-AE455</f>
        <v>27.825905505896586</v>
      </c>
      <c r="AF464" s="10">
        <f>AF452-AF455</f>
        <v>20.372533900521233</v>
      </c>
      <c r="AG464" s="10">
        <f t="shared" ref="AG464:AQ464" si="127">AG452-AG455</f>
        <v>10.295280382156818</v>
      </c>
      <c r="AH464" s="10">
        <f t="shared" si="127"/>
        <v>11.81347102962107</v>
      </c>
      <c r="AI464" s="10">
        <f t="shared" si="127"/>
        <v>32.503900220705447</v>
      </c>
      <c r="AJ464" s="10">
        <f t="shared" si="127"/>
        <v>12.243612383068964</v>
      </c>
      <c r="AK464" s="10">
        <f t="shared" si="127"/>
        <v>16.895713865973775</v>
      </c>
      <c r="AL464" s="10">
        <f t="shared" si="127"/>
        <v>26.996674431366429</v>
      </c>
      <c r="AM464" s="10">
        <f t="shared" si="127"/>
        <v>23.894313208742417</v>
      </c>
      <c r="AN464" s="10">
        <f t="shared" si="127"/>
        <v>9.7123899461777938</v>
      </c>
      <c r="AO464" s="10">
        <f t="shared" si="127"/>
        <v>9.3050562152737371</v>
      </c>
      <c r="AP464" s="10">
        <f t="shared" si="127"/>
        <v>17.726485792974685</v>
      </c>
      <c r="AQ464" s="10">
        <f t="shared" si="127"/>
        <v>11.297254567181497</v>
      </c>
      <c r="AR464" s="10">
        <f t="shared" ref="AR464:AY464" si="128">AR452-AR455</f>
        <v>26.347207161134605</v>
      </c>
      <c r="AS464" s="10">
        <f t="shared" si="128"/>
        <v>15.84616280361513</v>
      </c>
      <c r="AT464" s="10">
        <f t="shared" si="128"/>
        <v>24.3632738866946</v>
      </c>
      <c r="AU464" s="10">
        <f t="shared" si="128"/>
        <v>31.562682105332158</v>
      </c>
      <c r="AV464" s="10">
        <f t="shared" si="128"/>
        <v>31.404275500511886</v>
      </c>
      <c r="AW464" s="10" t="e">
        <f t="shared" si="128"/>
        <v>#DIV/0!</v>
      </c>
      <c r="AX464" s="10" t="e">
        <f t="shared" si="128"/>
        <v>#DIV/0!</v>
      </c>
      <c r="AY464" s="10" t="e">
        <f t="shared" si="128"/>
        <v>#DIV/0!</v>
      </c>
      <c r="AZ464" s="10">
        <f>AZ452-AZ455</f>
        <v>6.9054806062223975</v>
      </c>
      <c r="BA464" s="10">
        <f>BA452-BA455</f>
        <v>11.906982787138247</v>
      </c>
      <c r="BB464" s="10">
        <f>BB452-BB455</f>
        <v>15.010423253027568</v>
      </c>
    </row>
    <row r="466" spans="4:7">
      <c r="D466" s="10"/>
      <c r="E466" s="10"/>
      <c r="F466" s="10"/>
      <c r="G466" s="10"/>
    </row>
  </sheetData>
  <mergeCells count="17">
    <mergeCell ref="B332:D332"/>
    <mergeCell ref="E332:G332"/>
    <mergeCell ref="H332:J332"/>
    <mergeCell ref="L332:N332"/>
    <mergeCell ref="O332:Q332"/>
    <mergeCell ref="P20:Q20"/>
    <mergeCell ref="B20:E20"/>
    <mergeCell ref="F20:G20"/>
    <mergeCell ref="F21:G21"/>
    <mergeCell ref="B21:C21"/>
    <mergeCell ref="D21:E21"/>
    <mergeCell ref="H20:K20"/>
    <mergeCell ref="H21:I21"/>
    <mergeCell ref="J21:K21"/>
    <mergeCell ref="L20:M20"/>
    <mergeCell ref="L21:M21"/>
    <mergeCell ref="N20:O20"/>
  </mergeCells>
  <pageMargins left="0.7" right="0.7" top="0.75" bottom="0.75" header="0.3" footer="0.3"/>
  <pageSetup paperSize="9" orientation="portrait" r:id="rId1"/>
  <ignoredErrors>
    <ignoredError sqref="I41" formula="1"/>
    <ignoredError sqref="F132:F137" formulaRange="1"/>
  </ignoredErrors>
</worksheet>
</file>

<file path=xl/worksheets/sheet2.xml><?xml version="1.0" encoding="utf-8"?>
<worksheet xmlns="http://schemas.openxmlformats.org/spreadsheetml/2006/main" xmlns:r="http://schemas.openxmlformats.org/officeDocument/2006/relationships">
  <sheetPr codeName="Folha1"/>
  <dimension ref="A1:L62"/>
  <sheetViews>
    <sheetView zoomScaleNormal="100" workbookViewId="0"/>
  </sheetViews>
  <sheetFormatPr defaultRowHeight="14.25"/>
  <cols>
    <col min="1" max="2" width="2.7109375" style="6" customWidth="1"/>
    <col min="3" max="3" width="60.7109375" style="6" customWidth="1"/>
    <col min="4" max="4" width="4.7109375" style="6" customWidth="1"/>
    <col min="5" max="10" width="10.7109375" style="6" customWidth="1"/>
    <col min="11" max="12" width="2.7109375" style="6" customWidth="1"/>
    <col min="13" max="16384" width="9.140625" style="6"/>
  </cols>
  <sheetData>
    <row r="1" spans="1:12" ht="9.9499999999999993" customHeight="1" thickBot="1">
      <c r="A1" s="174"/>
      <c r="B1" s="174"/>
      <c r="C1" s="174"/>
      <c r="D1" s="174"/>
      <c r="E1" s="174"/>
      <c r="F1" s="174"/>
      <c r="G1" s="174"/>
      <c r="H1" s="174"/>
      <c r="I1" s="174"/>
      <c r="J1" s="174"/>
      <c r="K1" s="174"/>
      <c r="L1" s="174"/>
    </row>
    <row r="2" spans="1:12" ht="9.9499999999999993" customHeight="1" thickTop="1">
      <c r="A2" s="174"/>
      <c r="B2" s="177"/>
      <c r="C2" s="178"/>
      <c r="D2" s="178"/>
      <c r="E2" s="178"/>
      <c r="F2" s="178"/>
      <c r="G2" s="178"/>
      <c r="H2" s="178"/>
      <c r="I2" s="178"/>
      <c r="J2" s="178"/>
      <c r="K2" s="179"/>
      <c r="L2" s="174"/>
    </row>
    <row r="3" spans="1:12" ht="20.25">
      <c r="A3" s="174"/>
      <c r="B3" s="180"/>
      <c r="C3" s="189" t="str">
        <f>AUX!A1</f>
        <v>Perfil Local de Saúde 2014</v>
      </c>
      <c r="D3" s="151"/>
      <c r="E3" s="151"/>
      <c r="F3" s="151"/>
      <c r="G3" s="151"/>
      <c r="H3" s="151"/>
      <c r="I3" s="151"/>
      <c r="J3" s="151"/>
      <c r="K3" s="181"/>
      <c r="L3" s="174"/>
    </row>
    <row r="4" spans="1:12" ht="5.0999999999999996" customHeight="1">
      <c r="A4" s="174"/>
      <c r="B4" s="180"/>
      <c r="C4" s="151"/>
      <c r="D4" s="151"/>
      <c r="E4" s="151"/>
      <c r="F4" s="151"/>
      <c r="G4" s="151"/>
      <c r="H4" s="151"/>
      <c r="I4" s="151"/>
      <c r="J4" s="151"/>
      <c r="K4" s="181"/>
      <c r="L4" s="174"/>
    </row>
    <row r="5" spans="1:12" ht="50.1" customHeight="1">
      <c r="A5" s="174"/>
      <c r="B5" s="180"/>
      <c r="C5" s="190">
        <f>AUX!A3</f>
        <v>0</v>
      </c>
      <c r="D5" s="151"/>
      <c r="E5" s="151"/>
      <c r="F5" s="151"/>
      <c r="G5" s="151"/>
      <c r="H5" s="151"/>
      <c r="I5" s="151"/>
      <c r="J5" s="151"/>
      <c r="K5" s="181"/>
      <c r="L5" s="174"/>
    </row>
    <row r="6" spans="1:12" ht="20.100000000000001" customHeight="1">
      <c r="A6" s="174"/>
      <c r="B6" s="180"/>
      <c r="C6" s="151"/>
      <c r="D6" s="151"/>
      <c r="E6" s="609" t="s">
        <v>0</v>
      </c>
      <c r="F6" s="609"/>
      <c r="G6" s="609" t="s">
        <v>274</v>
      </c>
      <c r="H6" s="609"/>
      <c r="I6" s="609" t="s">
        <v>1</v>
      </c>
      <c r="J6" s="609"/>
      <c r="K6" s="181"/>
      <c r="L6" s="174"/>
    </row>
    <row r="7" spans="1:12" ht="20.100000000000001" customHeight="1">
      <c r="A7" s="174"/>
      <c r="B7" s="180"/>
      <c r="C7" s="151"/>
      <c r="D7" s="151"/>
      <c r="E7" s="615"/>
      <c r="F7" s="615"/>
      <c r="G7" s="615"/>
      <c r="H7" s="615"/>
      <c r="I7" s="615"/>
      <c r="J7" s="615"/>
      <c r="K7" s="181"/>
      <c r="L7" s="174"/>
    </row>
    <row r="8" spans="1:12" ht="20.100000000000001" customHeight="1">
      <c r="A8" s="174"/>
      <c r="B8" s="180"/>
      <c r="C8" s="151"/>
      <c r="D8" s="151"/>
      <c r="E8" s="151"/>
      <c r="F8" s="151"/>
      <c r="G8" s="151"/>
      <c r="H8" s="151"/>
      <c r="I8" s="151"/>
      <c r="J8" s="151"/>
      <c r="K8" s="181"/>
      <c r="L8" s="174"/>
    </row>
    <row r="9" spans="1:12" ht="20.100000000000001" customHeight="1">
      <c r="A9" s="174"/>
      <c r="B9" s="180"/>
      <c r="C9" s="151"/>
      <c r="D9" s="151"/>
      <c r="E9" s="151"/>
      <c r="F9" s="151"/>
      <c r="G9" s="151"/>
      <c r="H9" s="151"/>
      <c r="I9" s="151"/>
      <c r="J9" s="151"/>
      <c r="K9" s="181"/>
      <c r="L9" s="174"/>
    </row>
    <row r="10" spans="1:12" ht="20.100000000000001" customHeight="1">
      <c r="A10" s="174"/>
      <c r="B10" s="180"/>
      <c r="C10" s="151"/>
      <c r="D10" s="151"/>
      <c r="E10" s="151"/>
      <c r="F10" s="151"/>
      <c r="G10" s="151"/>
      <c r="H10" s="151"/>
      <c r="I10" s="151"/>
      <c r="J10" s="151"/>
      <c r="K10" s="181"/>
      <c r="L10" s="174"/>
    </row>
    <row r="11" spans="1:12" ht="20.100000000000001" customHeight="1">
      <c r="A11" s="174"/>
      <c r="B11" s="180"/>
      <c r="C11" s="151"/>
      <c r="D11" s="151"/>
      <c r="E11" s="151"/>
      <c r="F11" s="151"/>
      <c r="G11" s="151"/>
      <c r="H11" s="151"/>
      <c r="I11" s="151"/>
      <c r="J11" s="151"/>
      <c r="K11" s="181"/>
      <c r="L11" s="174"/>
    </row>
    <row r="12" spans="1:12" ht="20.100000000000001" customHeight="1">
      <c r="A12" s="174"/>
      <c r="B12" s="180"/>
      <c r="C12" s="151"/>
      <c r="D12" s="151"/>
      <c r="E12" s="151"/>
      <c r="F12" s="151"/>
      <c r="G12" s="151"/>
      <c r="H12" s="151"/>
      <c r="I12" s="151"/>
      <c r="J12" s="151"/>
      <c r="K12" s="181"/>
      <c r="L12" s="174"/>
    </row>
    <row r="13" spans="1:12" ht="20.100000000000001" customHeight="1">
      <c r="A13" s="174"/>
      <c r="B13" s="180"/>
      <c r="C13" s="151"/>
      <c r="D13" s="151"/>
      <c r="E13" s="151"/>
      <c r="F13" s="151"/>
      <c r="G13" s="151"/>
      <c r="H13" s="151"/>
      <c r="I13" s="151"/>
      <c r="J13" s="151"/>
      <c r="K13" s="181"/>
      <c r="L13" s="174"/>
    </row>
    <row r="14" spans="1:12" ht="20.100000000000001" customHeight="1">
      <c r="A14" s="174"/>
      <c r="B14" s="180"/>
      <c r="C14" s="151"/>
      <c r="D14" s="151"/>
      <c r="E14" s="151"/>
      <c r="F14" s="151"/>
      <c r="G14" s="151"/>
      <c r="H14" s="151"/>
      <c r="I14" s="151"/>
      <c r="J14" s="151"/>
      <c r="K14" s="181"/>
      <c r="L14" s="174"/>
    </row>
    <row r="15" spans="1:12" ht="20.100000000000001" customHeight="1">
      <c r="A15" s="174"/>
      <c r="B15" s="180"/>
      <c r="C15" s="151"/>
      <c r="D15" s="151"/>
      <c r="E15" s="151"/>
      <c r="F15" s="151"/>
      <c r="G15" s="151"/>
      <c r="H15" s="151"/>
      <c r="I15" s="151"/>
      <c r="J15" s="151"/>
      <c r="K15" s="181"/>
      <c r="L15" s="174"/>
    </row>
    <row r="16" spans="1:12" ht="20.100000000000001" customHeight="1">
      <c r="A16" s="174"/>
      <c r="B16" s="180"/>
      <c r="C16" s="151"/>
      <c r="D16" s="151"/>
      <c r="E16" s="151"/>
      <c r="F16" s="151"/>
      <c r="G16" s="151"/>
      <c r="H16" s="151"/>
      <c r="I16" s="151"/>
      <c r="J16" s="151"/>
      <c r="K16" s="181"/>
      <c r="L16" s="174"/>
    </row>
    <row r="17" spans="1:12" ht="20.100000000000001" customHeight="1">
      <c r="A17" s="174"/>
      <c r="B17" s="180"/>
      <c r="C17" s="151"/>
      <c r="D17" s="151"/>
      <c r="E17" s="151"/>
      <c r="F17" s="151"/>
      <c r="G17" s="151"/>
      <c r="H17" s="151"/>
      <c r="I17" s="151"/>
      <c r="J17" s="151"/>
      <c r="K17" s="181"/>
      <c r="L17" s="174"/>
    </row>
    <row r="18" spans="1:12" ht="65.099999999999994" customHeight="1">
      <c r="A18" s="174"/>
      <c r="B18" s="180"/>
      <c r="C18" s="151"/>
      <c r="D18" s="151"/>
      <c r="E18" s="610" t="s">
        <v>503</v>
      </c>
      <c r="F18" s="610"/>
      <c r="G18" s="610"/>
      <c r="H18" s="610"/>
      <c r="I18" s="610"/>
      <c r="J18" s="610"/>
      <c r="K18" s="181"/>
      <c r="L18" s="174"/>
    </row>
    <row r="19" spans="1:12" ht="5.0999999999999996" customHeight="1">
      <c r="A19" s="174"/>
      <c r="B19" s="180"/>
      <c r="C19" s="151"/>
      <c r="D19" s="151"/>
      <c r="E19" s="153"/>
      <c r="F19" s="153"/>
      <c r="G19" s="153"/>
      <c r="H19" s="153"/>
      <c r="I19" s="153"/>
      <c r="J19" s="153"/>
      <c r="K19" s="181"/>
      <c r="L19" s="174"/>
    </row>
    <row r="20" spans="1:12" ht="29.25" customHeight="1">
      <c r="A20" s="174"/>
      <c r="B20" s="180"/>
      <c r="C20" s="151"/>
      <c r="D20" s="151"/>
      <c r="E20" s="610" t="s">
        <v>504</v>
      </c>
      <c r="F20" s="610"/>
      <c r="G20" s="610"/>
      <c r="H20" s="610"/>
      <c r="I20" s="610"/>
      <c r="J20" s="610"/>
      <c r="K20" s="181"/>
      <c r="L20" s="174"/>
    </row>
    <row r="21" spans="1:12" s="186" customFormat="1" ht="18" customHeight="1">
      <c r="A21" s="182"/>
      <c r="B21" s="183"/>
      <c r="C21" s="184"/>
      <c r="D21" s="184"/>
      <c r="E21" s="611"/>
      <c r="F21" s="612"/>
      <c r="G21" s="612"/>
      <c r="H21" s="612"/>
      <c r="I21" s="612"/>
      <c r="J21" s="612"/>
      <c r="K21" s="185"/>
      <c r="L21" s="182"/>
    </row>
    <row r="22" spans="1:12" ht="9.9499999999999993" customHeight="1">
      <c r="A22" s="174"/>
      <c r="B22" s="180"/>
      <c r="C22" s="151"/>
      <c r="D22" s="151"/>
      <c r="E22" s="151"/>
      <c r="F22" s="151"/>
      <c r="G22" s="151"/>
      <c r="H22" s="151"/>
      <c r="I22" s="151"/>
      <c r="J22" s="151"/>
      <c r="K22" s="181"/>
      <c r="L22" s="174"/>
    </row>
    <row r="23" spans="1:12" ht="15" customHeight="1">
      <c r="A23" s="174"/>
      <c r="B23" s="180"/>
      <c r="C23" s="151"/>
      <c r="D23" s="151"/>
      <c r="E23" s="618" t="s">
        <v>117</v>
      </c>
      <c r="F23" s="618"/>
      <c r="G23" s="616"/>
      <c r="H23" s="617"/>
      <c r="I23" s="617"/>
      <c r="J23" s="617"/>
      <c r="K23" s="181"/>
      <c r="L23" s="174"/>
    </row>
    <row r="24" spans="1:12" ht="9.9499999999999993" customHeight="1" thickBot="1">
      <c r="A24" s="174"/>
      <c r="B24" s="187"/>
      <c r="C24" s="20"/>
      <c r="D24" s="20"/>
      <c r="E24" s="20"/>
      <c r="F24" s="20"/>
      <c r="G24" s="20"/>
      <c r="H24" s="20"/>
      <c r="I24" s="20"/>
      <c r="J24" s="20"/>
      <c r="K24" s="188"/>
      <c r="L24" s="174"/>
    </row>
    <row r="25" spans="1:12" ht="39.950000000000003" customHeight="1" thickTop="1">
      <c r="A25" s="174"/>
      <c r="B25" s="174"/>
      <c r="C25" s="174"/>
      <c r="D25" s="174"/>
      <c r="E25" s="174"/>
      <c r="F25" s="174"/>
      <c r="G25" s="174"/>
      <c r="H25" s="174"/>
      <c r="I25" s="174"/>
      <c r="J25" s="174"/>
      <c r="K25" s="174"/>
      <c r="L25" s="174"/>
    </row>
    <row r="26" spans="1:12" ht="24.95" customHeight="1">
      <c r="A26" s="174"/>
      <c r="B26" s="174"/>
      <c r="C26" s="613" t="s">
        <v>274</v>
      </c>
      <c r="D26" s="613"/>
      <c r="E26" s="613"/>
      <c r="F26" s="613"/>
      <c r="G26" s="613"/>
      <c r="H26" s="613"/>
      <c r="I26" s="613"/>
      <c r="J26" s="613"/>
      <c r="K26" s="174"/>
      <c r="L26" s="174"/>
    </row>
    <row r="27" spans="1:12">
      <c r="A27" s="174"/>
      <c r="B27" s="174"/>
      <c r="C27" s="174"/>
      <c r="D27" s="174"/>
      <c r="E27" s="174"/>
      <c r="F27" s="174"/>
      <c r="G27" s="174"/>
      <c r="H27" s="174"/>
      <c r="I27" s="174"/>
      <c r="J27" s="174"/>
      <c r="K27" s="174"/>
      <c r="L27" s="174"/>
    </row>
    <row r="28" spans="1:12">
      <c r="A28" s="174"/>
      <c r="B28" s="174"/>
      <c r="C28" s="174"/>
      <c r="D28" s="174"/>
      <c r="E28" s="174"/>
      <c r="F28" s="174"/>
      <c r="G28" s="174"/>
      <c r="H28" s="174"/>
      <c r="I28" s="174"/>
      <c r="J28" s="174"/>
      <c r="K28" s="174"/>
      <c r="L28" s="174"/>
    </row>
    <row r="29" spans="1:12">
      <c r="A29" s="174"/>
      <c r="B29" s="174"/>
      <c r="C29" s="407"/>
      <c r="D29" s="174"/>
      <c r="E29" s="174"/>
      <c r="F29" s="174"/>
      <c r="G29" s="174"/>
      <c r="H29" s="174"/>
      <c r="I29" s="174"/>
      <c r="J29" s="174"/>
      <c r="K29" s="174"/>
      <c r="L29" s="174"/>
    </row>
    <row r="30" spans="1:12">
      <c r="A30" s="174"/>
      <c r="B30" s="174"/>
      <c r="C30" s="174"/>
      <c r="D30" s="174"/>
      <c r="E30" s="174"/>
      <c r="F30" s="174"/>
      <c r="G30" s="174"/>
      <c r="H30" s="174"/>
      <c r="I30" s="174"/>
      <c r="J30" s="174"/>
      <c r="K30" s="174"/>
      <c r="L30" s="174"/>
    </row>
    <row r="31" spans="1:12">
      <c r="A31" s="174"/>
      <c r="B31" s="174"/>
      <c r="C31" s="174"/>
      <c r="D31" s="174"/>
      <c r="E31" s="174"/>
      <c r="F31" s="174"/>
      <c r="G31" s="174"/>
      <c r="H31" s="174"/>
      <c r="I31" s="174"/>
      <c r="J31" s="174"/>
      <c r="K31" s="174"/>
      <c r="L31" s="174"/>
    </row>
    <row r="32" spans="1:12">
      <c r="A32" s="174"/>
      <c r="B32" s="174"/>
      <c r="C32" s="174"/>
      <c r="D32" s="174"/>
      <c r="E32" s="174"/>
      <c r="F32" s="174"/>
      <c r="G32" s="174"/>
      <c r="H32" s="174"/>
      <c r="I32" s="174"/>
      <c r="J32" s="174"/>
      <c r="K32" s="174"/>
      <c r="L32" s="174"/>
    </row>
    <row r="33" spans="1:12">
      <c r="A33" s="174"/>
      <c r="B33" s="174"/>
      <c r="C33" s="174"/>
      <c r="D33" s="174"/>
      <c r="E33" s="174"/>
      <c r="F33" s="174"/>
      <c r="G33" s="174"/>
      <c r="H33" s="174"/>
      <c r="I33" s="174"/>
      <c r="J33" s="174"/>
      <c r="K33" s="174"/>
      <c r="L33" s="174"/>
    </row>
    <row r="34" spans="1:12">
      <c r="A34" s="174"/>
      <c r="B34" s="174"/>
      <c r="C34" s="174"/>
      <c r="D34" s="174"/>
      <c r="E34" s="174"/>
      <c r="F34" s="174"/>
      <c r="G34" s="174"/>
      <c r="H34" s="174"/>
      <c r="I34" s="174"/>
      <c r="J34" s="174"/>
      <c r="K34" s="174"/>
      <c r="L34" s="174"/>
    </row>
    <row r="35" spans="1:12">
      <c r="A35" s="174"/>
      <c r="B35" s="174"/>
      <c r="C35" s="174"/>
      <c r="D35" s="174"/>
      <c r="E35" s="174"/>
      <c r="F35" s="174"/>
      <c r="G35" s="174"/>
      <c r="H35" s="174"/>
      <c r="I35" s="174"/>
      <c r="J35" s="174"/>
      <c r="K35" s="174"/>
      <c r="L35" s="174"/>
    </row>
    <row r="36" spans="1:12">
      <c r="A36" s="174"/>
      <c r="B36" s="174"/>
      <c r="C36" s="174"/>
      <c r="D36" s="174"/>
      <c r="E36" s="174"/>
      <c r="F36" s="174"/>
      <c r="G36" s="174"/>
      <c r="H36" s="174"/>
      <c r="I36" s="174"/>
      <c r="J36" s="174"/>
      <c r="K36" s="174"/>
      <c r="L36" s="174"/>
    </row>
    <row r="37" spans="1:12">
      <c r="A37" s="174"/>
      <c r="B37" s="174"/>
      <c r="C37" s="174"/>
      <c r="D37" s="174"/>
      <c r="E37" s="174"/>
      <c r="F37" s="174"/>
      <c r="G37" s="174"/>
      <c r="H37" s="174"/>
      <c r="I37" s="174"/>
      <c r="J37" s="174"/>
      <c r="K37" s="174"/>
      <c r="L37" s="174"/>
    </row>
    <row r="38" spans="1:12">
      <c r="A38" s="174"/>
      <c r="B38" s="174"/>
      <c r="C38" s="174"/>
      <c r="D38" s="174"/>
      <c r="E38" s="174"/>
      <c r="F38" s="174"/>
      <c r="G38" s="174"/>
      <c r="H38" s="174"/>
      <c r="I38" s="174"/>
      <c r="J38" s="174"/>
      <c r="K38" s="174"/>
      <c r="L38" s="174"/>
    </row>
    <row r="39" spans="1:12">
      <c r="A39" s="174"/>
      <c r="B39" s="174"/>
      <c r="C39" s="174"/>
      <c r="D39" s="174"/>
      <c r="E39" s="174"/>
      <c r="F39" s="174"/>
      <c r="G39" s="174"/>
      <c r="H39" s="174"/>
      <c r="I39" s="174"/>
      <c r="J39" s="174"/>
      <c r="K39" s="174"/>
      <c r="L39" s="174"/>
    </row>
    <row r="40" spans="1:12">
      <c r="A40" s="174"/>
      <c r="B40" s="174"/>
      <c r="C40" s="174"/>
      <c r="D40" s="174"/>
      <c r="E40" s="174"/>
      <c r="F40" s="174"/>
      <c r="G40" s="174"/>
      <c r="H40" s="174"/>
      <c r="I40" s="174"/>
      <c r="J40" s="174"/>
      <c r="K40" s="174"/>
      <c r="L40" s="174"/>
    </row>
    <row r="41" spans="1:12">
      <c r="A41" s="174"/>
      <c r="B41" s="174"/>
      <c r="C41" s="174"/>
      <c r="D41" s="174"/>
      <c r="E41" s="174"/>
      <c r="F41" s="174"/>
      <c r="G41" s="174"/>
      <c r="H41" s="174"/>
      <c r="I41" s="174"/>
      <c r="J41" s="174"/>
      <c r="K41" s="174"/>
      <c r="L41" s="174"/>
    </row>
    <row r="42" spans="1:12">
      <c r="A42" s="174"/>
      <c r="B42" s="174"/>
      <c r="C42" s="174"/>
      <c r="D42" s="174"/>
      <c r="E42" s="174"/>
      <c r="F42" s="174"/>
      <c r="G42" s="174"/>
      <c r="H42" s="174"/>
      <c r="I42" s="174"/>
      <c r="J42" s="174"/>
      <c r="K42" s="174"/>
      <c r="L42" s="174"/>
    </row>
    <row r="43" spans="1:12">
      <c r="A43" s="174"/>
      <c r="B43" s="174"/>
      <c r="C43" s="174"/>
      <c r="D43" s="174"/>
      <c r="E43" s="174"/>
      <c r="F43" s="174"/>
      <c r="G43" s="174"/>
      <c r="H43" s="174"/>
      <c r="I43" s="174"/>
      <c r="J43" s="174"/>
      <c r="K43" s="174"/>
      <c r="L43" s="174"/>
    </row>
    <row r="44" spans="1:12">
      <c r="A44" s="174"/>
      <c r="B44" s="174"/>
      <c r="C44" s="174"/>
      <c r="D44" s="174"/>
      <c r="E44" s="174"/>
      <c r="F44" s="174"/>
      <c r="G44" s="174"/>
      <c r="H44" s="174"/>
      <c r="I44" s="174"/>
      <c r="J44" s="174"/>
      <c r="K44" s="174"/>
      <c r="L44" s="174"/>
    </row>
    <row r="45" spans="1:12">
      <c r="A45" s="174"/>
      <c r="B45" s="174"/>
      <c r="C45" s="174"/>
      <c r="D45" s="174"/>
      <c r="E45" s="174"/>
      <c r="F45" s="174"/>
      <c r="G45" s="174"/>
      <c r="H45" s="174"/>
      <c r="I45" s="174"/>
      <c r="J45" s="174"/>
      <c r="K45" s="174"/>
      <c r="L45" s="174"/>
    </row>
    <row r="46" spans="1:12">
      <c r="A46" s="174"/>
      <c r="B46" s="174"/>
      <c r="C46" s="174"/>
      <c r="D46" s="174"/>
      <c r="E46" s="174"/>
      <c r="F46" s="174"/>
      <c r="G46" s="174"/>
      <c r="H46" s="174"/>
      <c r="I46" s="174"/>
      <c r="J46" s="174"/>
      <c r="K46" s="174"/>
      <c r="L46" s="174"/>
    </row>
    <row r="47" spans="1:12" ht="20.100000000000001" customHeight="1">
      <c r="A47" s="541"/>
      <c r="B47" s="541"/>
      <c r="C47" s="541"/>
      <c r="D47" s="541"/>
      <c r="E47" s="541"/>
      <c r="F47" s="541"/>
      <c r="G47" s="541"/>
      <c r="H47" s="541"/>
      <c r="I47" s="541"/>
      <c r="J47" s="541"/>
      <c r="K47" s="541"/>
      <c r="L47" s="541"/>
    </row>
    <row r="48" spans="1:12" ht="20.100000000000001" customHeight="1">
      <c r="A48" s="541"/>
      <c r="B48" s="541"/>
      <c r="C48" s="541"/>
      <c r="D48" s="541"/>
      <c r="E48" s="541"/>
      <c r="F48" s="541"/>
      <c r="G48" s="541"/>
      <c r="H48" s="541"/>
      <c r="I48" s="541"/>
      <c r="J48" s="541"/>
      <c r="K48" s="541"/>
      <c r="L48" s="541"/>
    </row>
    <row r="49" spans="1:12" ht="20.100000000000001" customHeight="1">
      <c r="A49" s="541"/>
      <c r="B49" s="541"/>
      <c r="C49" s="541"/>
      <c r="D49" s="541"/>
      <c r="E49" s="541"/>
      <c r="F49" s="174"/>
      <c r="G49" s="541"/>
      <c r="H49" s="541"/>
      <c r="I49" s="541"/>
      <c r="J49" s="541"/>
      <c r="K49" s="541"/>
      <c r="L49" s="541"/>
    </row>
    <row r="50" spans="1:12" ht="20.100000000000001" customHeight="1">
      <c r="A50" s="541"/>
      <c r="B50" s="541"/>
      <c r="C50" s="541"/>
      <c r="D50" s="541"/>
      <c r="E50" s="541"/>
      <c r="F50" s="541"/>
      <c r="G50" s="541"/>
      <c r="H50" s="541"/>
      <c r="I50" s="541"/>
      <c r="J50" s="541"/>
      <c r="K50" s="541"/>
      <c r="L50" s="541"/>
    </row>
    <row r="51" spans="1:12" ht="20.100000000000001" customHeight="1">
      <c r="A51" s="174"/>
      <c r="B51" s="174"/>
      <c r="C51" s="174"/>
      <c r="D51" s="174"/>
      <c r="E51" s="174"/>
      <c r="F51" s="174"/>
      <c r="G51" s="174"/>
      <c r="H51" s="174"/>
      <c r="I51" s="174"/>
      <c r="J51" s="174"/>
      <c r="K51" s="174"/>
      <c r="L51" s="174"/>
    </row>
    <row r="52" spans="1:12" ht="20.100000000000001" customHeight="1">
      <c r="A52" s="174"/>
      <c r="B52" s="174"/>
      <c r="C52" s="174"/>
      <c r="D52" s="174"/>
      <c r="E52" s="174"/>
      <c r="F52" s="174"/>
      <c r="G52" s="174"/>
      <c r="H52" s="174"/>
      <c r="I52" s="174"/>
      <c r="J52" s="174"/>
      <c r="K52" s="174"/>
      <c r="L52" s="174"/>
    </row>
    <row r="53" spans="1:12" ht="20.100000000000001" customHeight="1">
      <c r="A53" s="174"/>
      <c r="B53" s="174"/>
      <c r="C53" s="174"/>
      <c r="D53" s="174"/>
      <c r="E53" s="174"/>
      <c r="F53" s="174"/>
      <c r="G53" s="174"/>
      <c r="H53" s="174"/>
      <c r="I53" s="174"/>
      <c r="K53" s="174"/>
      <c r="L53" s="174"/>
    </row>
    <row r="54" spans="1:12" ht="20.100000000000001" customHeight="1">
      <c r="A54" s="174"/>
      <c r="B54" s="174"/>
      <c r="C54" s="174"/>
      <c r="D54" s="174"/>
      <c r="E54" s="174"/>
      <c r="F54" s="174"/>
      <c r="G54" s="174"/>
      <c r="H54" s="174"/>
      <c r="I54" s="174"/>
      <c r="J54" s="174"/>
      <c r="K54" s="174"/>
      <c r="L54" s="174"/>
    </row>
    <row r="55" spans="1:12" ht="20.100000000000001" customHeight="1">
      <c r="A55" s="174"/>
      <c r="B55" s="174"/>
      <c r="C55" s="174"/>
      <c r="D55" s="174"/>
      <c r="E55" s="174"/>
      <c r="F55" s="174"/>
      <c r="G55" s="174"/>
      <c r="H55" s="174"/>
      <c r="I55" s="174"/>
      <c r="J55" s="174"/>
      <c r="K55" s="174"/>
      <c r="L55" s="174"/>
    </row>
    <row r="56" spans="1:12">
      <c r="A56" s="174"/>
      <c r="B56" s="614" t="s">
        <v>2</v>
      </c>
      <c r="C56" s="614"/>
      <c r="D56" s="174"/>
      <c r="E56" s="174"/>
      <c r="F56" s="174"/>
      <c r="G56" s="174"/>
      <c r="H56" s="174"/>
      <c r="I56" s="174"/>
      <c r="J56" s="174"/>
      <c r="K56" s="174"/>
      <c r="L56" s="174"/>
    </row>
    <row r="57" spans="1:12">
      <c r="A57" s="174"/>
      <c r="B57" s="614" t="s">
        <v>0</v>
      </c>
      <c r="C57" s="614"/>
      <c r="D57" s="174"/>
      <c r="E57" s="174"/>
      <c r="F57" s="174"/>
      <c r="G57" s="174"/>
      <c r="H57" s="174"/>
      <c r="I57" s="174"/>
      <c r="J57" s="174"/>
      <c r="K57" s="174"/>
      <c r="L57" s="174"/>
    </row>
    <row r="58" spans="1:12">
      <c r="A58" s="174"/>
      <c r="B58" s="174"/>
      <c r="C58" s="174"/>
      <c r="D58" s="174"/>
      <c r="E58" s="174"/>
      <c r="F58" s="174"/>
      <c r="G58" s="174"/>
      <c r="H58" s="174"/>
      <c r="I58" s="174"/>
      <c r="J58" s="174"/>
      <c r="K58" s="174"/>
      <c r="L58" s="174"/>
    </row>
    <row r="59" spans="1:12">
      <c r="A59" s="174"/>
      <c r="B59" s="174"/>
      <c r="C59" s="174"/>
      <c r="D59" s="174"/>
      <c r="E59" s="174"/>
      <c r="F59" s="174"/>
      <c r="G59" s="174"/>
      <c r="H59" s="174"/>
      <c r="I59" s="174"/>
      <c r="J59" s="174"/>
      <c r="K59" s="174"/>
      <c r="L59" s="174"/>
    </row>
    <row r="60" spans="1:12">
      <c r="A60" s="174"/>
      <c r="B60" s="174"/>
      <c r="C60" s="174"/>
      <c r="D60" s="174"/>
      <c r="E60" s="174"/>
      <c r="F60" s="174"/>
      <c r="G60" s="174"/>
      <c r="H60" s="174"/>
      <c r="I60" s="174"/>
      <c r="J60" s="174"/>
      <c r="K60" s="174"/>
      <c r="L60" s="174"/>
    </row>
    <row r="61" spans="1:12" ht="15" thickBot="1">
      <c r="A61" s="174"/>
      <c r="B61" s="174"/>
      <c r="C61" s="174"/>
      <c r="D61" s="174"/>
      <c r="E61" s="174"/>
      <c r="F61" s="174"/>
      <c r="G61" s="174"/>
      <c r="H61" s="174"/>
      <c r="I61" s="174"/>
      <c r="J61" s="174"/>
      <c r="K61" s="174"/>
      <c r="L61" s="174"/>
    </row>
    <row r="62" spans="1:12" ht="9.9499999999999993" customHeight="1">
      <c r="A62" s="174"/>
      <c r="B62" s="608"/>
      <c r="C62" s="608"/>
      <c r="D62" s="608"/>
      <c r="E62" s="608"/>
      <c r="F62" s="608"/>
      <c r="G62" s="608"/>
      <c r="H62" s="608"/>
      <c r="I62" s="608"/>
      <c r="J62" s="608"/>
      <c r="K62" s="608"/>
      <c r="L62" s="174"/>
    </row>
  </sheetData>
  <mergeCells count="15">
    <mergeCell ref="B62:K62"/>
    <mergeCell ref="E6:F6"/>
    <mergeCell ref="G6:H6"/>
    <mergeCell ref="I6:J6"/>
    <mergeCell ref="E18:J18"/>
    <mergeCell ref="E21:J21"/>
    <mergeCell ref="C26:J26"/>
    <mergeCell ref="B56:C56"/>
    <mergeCell ref="B57:C57"/>
    <mergeCell ref="E7:F7"/>
    <mergeCell ref="G7:H7"/>
    <mergeCell ref="I7:J7"/>
    <mergeCell ref="E20:J20"/>
    <mergeCell ref="G23:J23"/>
    <mergeCell ref="E23:F23"/>
  </mergeCells>
  <hyperlinks>
    <hyperlink ref="B56:C56" location="PLS!A1" display="Voltar"/>
    <hyperlink ref="B57:C57" location="INDICE!A1" display="Índice"/>
    <hyperlink ref="E6:F6" location="INDICE!A1" display="Índice"/>
    <hyperlink ref="G6:H6" location="PLS!A26" display="Aspetos a destacar"/>
    <hyperlink ref="I6:J6" location="LIGA!A1" display="Ligações"/>
  </hyperlinks>
  <printOptions horizontalCentered="1"/>
  <pageMargins left="0.39370078740157483" right="0.19685039370078741" top="0.78740157480314965" bottom="0.39370078740157483" header="0.31496062992125984" footer="0.31496062992125984"/>
  <pageSetup paperSize="9" scale="69" orientation="portrait" r:id="rId1"/>
  <drawing r:id="rId2"/>
  <webPublishItems count="1">
    <webPublishItem id="30712" divId="PLS2009_1901_AltoMinho_30712" sourceType="sheet" destinationFile="D:\ARSN_DSP\Perfis_Locais_Saude\PLS_1901_ULS_AltoMinho\PLS2009_1901_AltoMinho.htm"/>
  </webPublishItems>
</worksheet>
</file>

<file path=xl/worksheets/sheet3.xml><?xml version="1.0" encoding="utf-8"?>
<worksheet xmlns="http://schemas.openxmlformats.org/spreadsheetml/2006/main" xmlns:r="http://schemas.openxmlformats.org/officeDocument/2006/relationships">
  <sheetPr codeName="Folha2"/>
  <dimension ref="A1:I54"/>
  <sheetViews>
    <sheetView zoomScaleNormal="100" workbookViewId="0"/>
  </sheetViews>
  <sheetFormatPr defaultRowHeight="14.25"/>
  <cols>
    <col min="1" max="1" width="2.7109375" style="6" customWidth="1"/>
    <col min="2" max="2" width="4.7109375" style="6" customWidth="1"/>
    <col min="3" max="3" width="16.7109375" style="6" customWidth="1"/>
    <col min="4" max="4" width="40.7109375" style="6" customWidth="1"/>
    <col min="5" max="5" width="10.7109375" style="6" customWidth="1"/>
    <col min="6" max="6" width="40.7109375" style="6" customWidth="1"/>
    <col min="7" max="7" width="16.7109375" style="6" customWidth="1"/>
    <col min="8" max="8" width="4.7109375" style="6" customWidth="1"/>
    <col min="9" max="9" width="2.7109375" style="6" customWidth="1"/>
    <col min="10" max="16384" width="9.140625" style="6"/>
  </cols>
  <sheetData>
    <row r="1" spans="1:9" ht="9.9499999999999993" customHeight="1">
      <c r="A1" s="146"/>
      <c r="B1" s="146"/>
      <c r="C1" s="146"/>
      <c r="D1" s="146"/>
      <c r="E1" s="146"/>
      <c r="F1" s="146"/>
      <c r="G1" s="146"/>
      <c r="H1" s="146"/>
      <c r="I1" s="146"/>
    </row>
    <row r="2" spans="1:9" ht="15">
      <c r="A2" s="146"/>
      <c r="B2" s="146"/>
      <c r="C2" s="630" t="str">
        <f>AUX!A1</f>
        <v>Perfil Local de Saúde 2014</v>
      </c>
      <c r="D2" s="630"/>
      <c r="E2" s="630"/>
      <c r="F2" s="146"/>
      <c r="G2" s="146"/>
      <c r="H2" s="146"/>
      <c r="I2" s="146"/>
    </row>
    <row r="3" spans="1:9" ht="5.0999999999999996" customHeight="1">
      <c r="A3" s="146"/>
      <c r="B3" s="146"/>
      <c r="C3" s="146"/>
      <c r="D3" s="146"/>
      <c r="E3" s="146"/>
      <c r="F3" s="146"/>
      <c r="G3" s="146"/>
      <c r="H3" s="146"/>
      <c r="I3" s="146"/>
    </row>
    <row r="4" spans="1:9" ht="30" customHeight="1">
      <c r="A4" s="146"/>
      <c r="B4" s="629">
        <f>AUX!A3</f>
        <v>0</v>
      </c>
      <c r="C4" s="629"/>
      <c r="D4" s="629"/>
      <c r="E4" s="629"/>
      <c r="F4" s="629"/>
      <c r="G4" s="629"/>
      <c r="H4" s="629"/>
      <c r="I4" s="146"/>
    </row>
    <row r="5" spans="1:9" ht="5.0999999999999996" customHeight="1">
      <c r="A5" s="146"/>
      <c r="B5" s="146"/>
      <c r="C5" s="146"/>
      <c r="D5" s="146"/>
      <c r="E5" s="146"/>
      <c r="F5" s="146"/>
      <c r="G5" s="146"/>
      <c r="H5" s="146"/>
      <c r="I5" s="146"/>
    </row>
    <row r="6" spans="1:9">
      <c r="A6" s="146"/>
      <c r="B6" s="636" t="s">
        <v>3</v>
      </c>
      <c r="C6" s="636"/>
      <c r="D6" s="146"/>
      <c r="E6" s="146"/>
      <c r="F6" s="146"/>
      <c r="G6" s="168" t="s">
        <v>82</v>
      </c>
      <c r="H6" s="146"/>
      <c r="I6" s="146"/>
    </row>
    <row r="7" spans="1:9">
      <c r="A7" s="146"/>
      <c r="B7" s="636" t="s">
        <v>1</v>
      </c>
      <c r="C7" s="636"/>
      <c r="D7" s="146"/>
      <c r="E7" s="146"/>
      <c r="F7" s="146"/>
      <c r="G7" s="146"/>
      <c r="H7" s="146"/>
      <c r="I7" s="146"/>
    </row>
    <row r="8" spans="1:9">
      <c r="A8" s="146"/>
      <c r="B8" s="636" t="s">
        <v>274</v>
      </c>
      <c r="C8" s="636"/>
      <c r="D8" s="146"/>
      <c r="E8" s="146"/>
      <c r="F8" s="146"/>
      <c r="G8" s="146"/>
      <c r="H8" s="146"/>
      <c r="I8" s="146"/>
    </row>
    <row r="9" spans="1:9" s="166" customFormat="1" ht="20.100000000000001" customHeight="1">
      <c r="A9" s="165"/>
      <c r="B9" s="165"/>
      <c r="C9" s="165"/>
      <c r="D9" s="638" t="s">
        <v>0</v>
      </c>
      <c r="E9" s="638"/>
      <c r="F9" s="638"/>
      <c r="G9" s="165"/>
      <c r="H9" s="165"/>
      <c r="I9" s="165"/>
    </row>
    <row r="10" spans="1:9" ht="15" customHeight="1">
      <c r="A10" s="146"/>
      <c r="B10" s="146"/>
      <c r="C10" s="146"/>
      <c r="D10" s="146"/>
      <c r="E10" s="146"/>
      <c r="F10" s="146"/>
      <c r="G10" s="146"/>
      <c r="H10" s="146"/>
      <c r="I10" s="146"/>
    </row>
    <row r="11" spans="1:9" ht="17.25" customHeight="1">
      <c r="A11" s="146"/>
      <c r="B11" s="146"/>
      <c r="C11" s="635" t="s">
        <v>4</v>
      </c>
      <c r="D11" s="635"/>
      <c r="E11" s="146"/>
      <c r="F11" s="146"/>
      <c r="G11" s="172" t="s">
        <v>52</v>
      </c>
      <c r="H11" s="146"/>
      <c r="I11" s="146"/>
    </row>
    <row r="12" spans="1:9" ht="5.0999999999999996" customHeight="1">
      <c r="A12" s="146"/>
      <c r="B12" s="146"/>
      <c r="C12" s="637"/>
      <c r="D12" s="637"/>
      <c r="E12" s="637"/>
      <c r="F12" s="637"/>
      <c r="G12" s="637"/>
      <c r="H12" s="146"/>
      <c r="I12" s="146"/>
    </row>
    <row r="13" spans="1:9" ht="18" customHeight="1">
      <c r="A13" s="146"/>
      <c r="B13" s="146"/>
      <c r="C13" s="627" t="s">
        <v>166</v>
      </c>
      <c r="D13" s="627"/>
      <c r="E13" s="146"/>
      <c r="F13" s="146"/>
      <c r="G13" s="146"/>
      <c r="H13" s="146"/>
      <c r="I13" s="146"/>
    </row>
    <row r="14" spans="1:9">
      <c r="A14" s="212"/>
      <c r="B14" s="212"/>
      <c r="C14" s="627" t="s">
        <v>36</v>
      </c>
      <c r="D14" s="627"/>
      <c r="E14" s="212"/>
      <c r="F14" s="212"/>
      <c r="G14" s="212"/>
      <c r="H14" s="212"/>
      <c r="I14" s="212"/>
    </row>
    <row r="15" spans="1:9">
      <c r="A15" s="146"/>
      <c r="B15" s="146"/>
      <c r="C15" s="627" t="s">
        <v>18</v>
      </c>
      <c r="D15" s="627"/>
      <c r="E15" s="146"/>
      <c r="F15" s="146"/>
      <c r="G15" s="146"/>
      <c r="H15" s="146"/>
      <c r="I15" s="146"/>
    </row>
    <row r="16" spans="1:9">
      <c r="A16" s="146"/>
      <c r="B16" s="146"/>
      <c r="C16" s="627" t="s">
        <v>37</v>
      </c>
      <c r="D16" s="627"/>
      <c r="E16" s="146"/>
      <c r="F16" s="146"/>
      <c r="G16" s="146"/>
      <c r="H16" s="146"/>
      <c r="I16" s="146"/>
    </row>
    <row r="17" spans="1:9">
      <c r="A17" s="146"/>
      <c r="B17" s="146"/>
      <c r="C17" s="627" t="s">
        <v>49</v>
      </c>
      <c r="D17" s="627"/>
      <c r="E17" s="146"/>
      <c r="F17" s="146"/>
      <c r="G17" s="146"/>
      <c r="H17" s="146"/>
      <c r="I17" s="146"/>
    </row>
    <row r="18" spans="1:9" ht="9.9499999999999993" customHeight="1">
      <c r="A18" s="146"/>
      <c r="B18" s="146"/>
      <c r="C18" s="146"/>
      <c r="D18" s="146"/>
      <c r="E18" s="146"/>
      <c r="F18" s="146"/>
      <c r="G18" s="146"/>
      <c r="H18" s="146"/>
      <c r="I18" s="146"/>
    </row>
    <row r="19" spans="1:9" ht="15">
      <c r="A19" s="146"/>
      <c r="B19" s="146"/>
      <c r="C19" s="633" t="s">
        <v>5</v>
      </c>
      <c r="D19" s="633"/>
      <c r="E19" s="146"/>
      <c r="F19" s="146"/>
      <c r="G19" s="171" t="s">
        <v>52</v>
      </c>
      <c r="H19" s="146"/>
      <c r="I19" s="146"/>
    </row>
    <row r="20" spans="1:9" ht="5.0999999999999996" customHeight="1">
      <c r="A20" s="146"/>
      <c r="B20" s="146"/>
      <c r="C20" s="631"/>
      <c r="D20" s="631"/>
      <c r="E20" s="631"/>
      <c r="F20" s="631"/>
      <c r="G20" s="631"/>
      <c r="H20" s="146"/>
      <c r="I20" s="146"/>
    </row>
    <row r="21" spans="1:9">
      <c r="A21" s="146"/>
      <c r="B21" s="146"/>
      <c r="C21" s="626" t="s">
        <v>67</v>
      </c>
      <c r="D21" s="626"/>
      <c r="E21" s="146"/>
      <c r="F21" s="146"/>
      <c r="G21" s="146"/>
      <c r="H21" s="146"/>
      <c r="I21" s="146"/>
    </row>
    <row r="22" spans="1:9">
      <c r="A22" s="385"/>
      <c r="B22" s="385"/>
      <c r="C22" s="626" t="s">
        <v>179</v>
      </c>
      <c r="D22" s="626"/>
      <c r="E22" s="385"/>
      <c r="F22" s="385"/>
      <c r="G22" s="385"/>
      <c r="H22" s="385"/>
      <c r="I22" s="385"/>
    </row>
    <row r="23" spans="1:9">
      <c r="A23" s="385"/>
      <c r="B23" s="385"/>
      <c r="C23" s="626" t="s">
        <v>181</v>
      </c>
      <c r="D23" s="626"/>
      <c r="E23" s="385"/>
      <c r="F23" s="385"/>
      <c r="G23" s="385"/>
      <c r="H23" s="385"/>
      <c r="I23" s="385"/>
    </row>
    <row r="24" spans="1:9">
      <c r="A24" s="543"/>
      <c r="B24" s="543"/>
      <c r="C24" s="626" t="s">
        <v>66</v>
      </c>
      <c r="D24" s="626"/>
      <c r="E24" s="543"/>
      <c r="F24" s="543"/>
      <c r="G24" s="543"/>
      <c r="H24" s="543"/>
      <c r="I24" s="543"/>
    </row>
    <row r="25" spans="1:9">
      <c r="A25" s="146"/>
      <c r="B25" s="146"/>
      <c r="C25" s="626" t="s">
        <v>65</v>
      </c>
      <c r="D25" s="626"/>
      <c r="E25" s="146"/>
      <c r="F25" s="146"/>
      <c r="G25" s="146"/>
      <c r="H25" s="146"/>
      <c r="I25" s="146"/>
    </row>
    <row r="26" spans="1:9">
      <c r="A26" s="146"/>
      <c r="B26" s="146"/>
      <c r="C26" s="626" t="s">
        <v>508</v>
      </c>
      <c r="D26" s="626"/>
      <c r="E26" s="146"/>
      <c r="F26" s="146"/>
      <c r="G26" s="146"/>
      <c r="H26" s="146"/>
      <c r="I26" s="146"/>
    </row>
    <row r="27" spans="1:9" ht="9.9499999999999993" customHeight="1">
      <c r="A27" s="146"/>
      <c r="B27" s="146"/>
      <c r="C27" s="146"/>
      <c r="D27" s="146"/>
      <c r="E27" s="146"/>
      <c r="F27" s="146"/>
      <c r="G27" s="146"/>
      <c r="H27" s="146"/>
      <c r="I27" s="146"/>
    </row>
    <row r="28" spans="1:9" ht="15">
      <c r="A28" s="146"/>
      <c r="B28" s="146"/>
      <c r="C28" s="634" t="s">
        <v>6</v>
      </c>
      <c r="D28" s="634"/>
      <c r="E28" s="167"/>
      <c r="F28" s="167"/>
      <c r="G28" s="170" t="s">
        <v>52</v>
      </c>
      <c r="H28" s="146"/>
      <c r="I28" s="146"/>
    </row>
    <row r="29" spans="1:9" ht="5.0999999999999996" customHeight="1">
      <c r="A29" s="146"/>
      <c r="B29" s="146"/>
      <c r="C29" s="632"/>
      <c r="D29" s="632"/>
      <c r="E29" s="632"/>
      <c r="F29" s="632"/>
      <c r="G29" s="632"/>
      <c r="H29" s="146"/>
      <c r="I29" s="146"/>
    </row>
    <row r="30" spans="1:9">
      <c r="A30" s="385"/>
      <c r="B30" s="385"/>
      <c r="C30" s="628" t="s">
        <v>177</v>
      </c>
      <c r="D30" s="628"/>
      <c r="E30" s="385"/>
      <c r="F30" s="385"/>
      <c r="G30" s="385"/>
      <c r="H30" s="385"/>
      <c r="I30" s="385"/>
    </row>
    <row r="31" spans="1:9">
      <c r="A31" s="460"/>
      <c r="B31" s="460"/>
      <c r="C31" s="628" t="s">
        <v>461</v>
      </c>
      <c r="D31" s="628"/>
      <c r="E31" s="628"/>
      <c r="F31" s="460"/>
      <c r="G31" s="460"/>
      <c r="H31" s="460"/>
      <c r="I31" s="460"/>
    </row>
    <row r="32" spans="1:9" ht="9.9499999999999993" customHeight="1">
      <c r="A32" s="385"/>
      <c r="B32" s="385"/>
      <c r="C32" s="385"/>
      <c r="D32" s="385"/>
      <c r="E32" s="385"/>
      <c r="F32" s="385"/>
      <c r="G32" s="385"/>
      <c r="H32" s="385"/>
      <c r="I32" s="385"/>
    </row>
    <row r="33" spans="1:9" ht="15">
      <c r="A33" s="146"/>
      <c r="B33" s="146"/>
      <c r="C33" s="625" t="s">
        <v>7</v>
      </c>
      <c r="D33" s="625"/>
      <c r="E33" s="146"/>
      <c r="F33" s="146"/>
      <c r="G33" s="169" t="s">
        <v>52</v>
      </c>
      <c r="H33" s="146"/>
      <c r="I33" s="146"/>
    </row>
    <row r="34" spans="1:9" ht="5.0999999999999996" customHeight="1">
      <c r="A34" s="146"/>
      <c r="B34" s="146"/>
      <c r="C34" s="624"/>
      <c r="D34" s="624"/>
      <c r="E34" s="624"/>
      <c r="F34" s="624"/>
      <c r="G34" s="624"/>
      <c r="H34" s="146"/>
      <c r="I34" s="146"/>
    </row>
    <row r="35" spans="1:9">
      <c r="A35" s="385"/>
      <c r="B35" s="385"/>
      <c r="C35" s="621" t="s">
        <v>178</v>
      </c>
      <c r="D35" s="621"/>
      <c r="E35" s="152"/>
      <c r="F35" s="152"/>
      <c r="G35" s="152"/>
      <c r="H35" s="385"/>
      <c r="I35" s="385"/>
    </row>
    <row r="36" spans="1:9">
      <c r="A36" s="146"/>
      <c r="B36" s="146"/>
      <c r="C36" s="623" t="s">
        <v>38</v>
      </c>
      <c r="D36" s="623"/>
      <c r="E36" s="152"/>
      <c r="F36" s="152"/>
      <c r="G36" s="152"/>
      <c r="H36" s="146"/>
      <c r="I36" s="146"/>
    </row>
    <row r="37" spans="1:9">
      <c r="A37" s="146"/>
      <c r="B37" s="146"/>
      <c r="C37" s="619" t="s">
        <v>41</v>
      </c>
      <c r="D37" s="619"/>
      <c r="E37" s="152"/>
      <c r="F37" s="152"/>
      <c r="G37" s="152"/>
      <c r="H37" s="146"/>
      <c r="I37" s="146"/>
    </row>
    <row r="38" spans="1:9">
      <c r="A38" s="146"/>
      <c r="B38" s="146"/>
      <c r="C38" s="619" t="s">
        <v>127</v>
      </c>
      <c r="D38" s="619"/>
      <c r="E38" s="152"/>
      <c r="F38" s="152"/>
      <c r="G38" s="152"/>
      <c r="H38" s="146"/>
      <c r="I38" s="146"/>
    </row>
    <row r="39" spans="1:9">
      <c r="A39" s="146"/>
      <c r="B39" s="146"/>
      <c r="C39" s="619" t="s">
        <v>40</v>
      </c>
      <c r="D39" s="619"/>
      <c r="E39" s="152"/>
      <c r="F39" s="152"/>
      <c r="G39" s="152"/>
      <c r="H39" s="146"/>
      <c r="I39" s="146"/>
    </row>
    <row r="40" spans="1:9">
      <c r="A40" s="146"/>
      <c r="B40" s="146"/>
      <c r="C40" s="619" t="s">
        <v>364</v>
      </c>
      <c r="D40" s="619"/>
      <c r="E40" s="152"/>
      <c r="F40" s="152"/>
      <c r="G40" s="152"/>
      <c r="H40" s="146"/>
      <c r="I40" s="146"/>
    </row>
    <row r="41" spans="1:9">
      <c r="A41" s="146"/>
      <c r="B41" s="146"/>
      <c r="C41" s="621" t="s">
        <v>462</v>
      </c>
      <c r="D41" s="621"/>
      <c r="E41" s="152"/>
      <c r="F41" s="152"/>
      <c r="G41" s="152"/>
      <c r="H41" s="146"/>
      <c r="I41" s="146"/>
    </row>
    <row r="42" spans="1:9">
      <c r="A42" s="146"/>
      <c r="B42" s="146"/>
      <c r="C42" s="621" t="s">
        <v>125</v>
      </c>
      <c r="D42" s="621"/>
      <c r="E42" s="152"/>
      <c r="F42" s="152"/>
      <c r="G42" s="152"/>
      <c r="H42" s="146"/>
      <c r="I42" s="146"/>
    </row>
    <row r="43" spans="1:9">
      <c r="A43" s="146"/>
      <c r="B43" s="146"/>
      <c r="C43" s="621" t="s">
        <v>29</v>
      </c>
      <c r="D43" s="621"/>
      <c r="E43" s="152"/>
      <c r="F43" s="152"/>
      <c r="G43" s="152"/>
      <c r="H43" s="146"/>
      <c r="I43" s="146"/>
    </row>
    <row r="44" spans="1:9" ht="9.9499999999999993" customHeight="1">
      <c r="A44" s="146"/>
      <c r="B44" s="146"/>
      <c r="C44" s="146"/>
      <c r="D44" s="146"/>
      <c r="E44" s="146"/>
      <c r="F44" s="146"/>
      <c r="G44" s="146"/>
      <c r="H44" s="146"/>
      <c r="I44" s="146"/>
    </row>
    <row r="45" spans="1:9" ht="15">
      <c r="A45" s="146"/>
      <c r="B45" s="146"/>
      <c r="C45" s="620" t="str">
        <f>RIGHT(AUX!C3,1) &amp; " " &amp; AUX!D3 &amp; " NUM ABRIR E FECHAR DE OLHOS…"</f>
        <v>O  NUM ABRIR E FECHAR DE OLHOS…</v>
      </c>
      <c r="D45" s="620"/>
      <c r="E45" s="620"/>
      <c r="F45" s="620"/>
      <c r="G45" s="566" t="s">
        <v>53</v>
      </c>
      <c r="H45" s="146"/>
      <c r="I45" s="146"/>
    </row>
    <row r="46" spans="1:9" ht="5.0999999999999996" customHeight="1">
      <c r="A46" s="146"/>
      <c r="B46" s="146"/>
      <c r="C46" s="622"/>
      <c r="D46" s="622"/>
      <c r="E46" s="622"/>
      <c r="F46" s="622"/>
      <c r="G46" s="622"/>
      <c r="H46" s="146"/>
      <c r="I46" s="146"/>
    </row>
    <row r="47" spans="1:9">
      <c r="A47" s="146"/>
      <c r="B47" s="146"/>
      <c r="C47" s="134"/>
      <c r="D47" s="134"/>
      <c r="E47" s="146"/>
      <c r="F47" s="146"/>
      <c r="G47" s="146"/>
      <c r="H47" s="146"/>
      <c r="I47" s="146"/>
    </row>
    <row r="48" spans="1:9">
      <c r="A48" s="146"/>
      <c r="B48" s="146"/>
      <c r="C48" s="146"/>
      <c r="D48" s="146"/>
      <c r="E48" s="146"/>
      <c r="F48" s="146"/>
      <c r="G48" s="146"/>
      <c r="H48" s="146"/>
      <c r="I48" s="146"/>
    </row>
    <row r="49" spans="1:9">
      <c r="A49" s="146"/>
      <c r="B49" s="146"/>
      <c r="C49" s="146"/>
      <c r="D49" s="146"/>
      <c r="E49" s="146"/>
      <c r="F49" s="146"/>
      <c r="G49" s="146"/>
      <c r="H49" s="146"/>
      <c r="I49" s="146"/>
    </row>
    <row r="50" spans="1:9">
      <c r="A50" s="146"/>
      <c r="B50" s="146"/>
      <c r="C50" s="146"/>
      <c r="D50" s="146"/>
      <c r="E50" s="146"/>
      <c r="F50" s="146"/>
      <c r="G50" s="146"/>
      <c r="H50" s="146"/>
      <c r="I50" s="146"/>
    </row>
    <row r="51" spans="1:9">
      <c r="A51" s="146"/>
      <c r="B51" s="146"/>
      <c r="C51" s="146"/>
      <c r="D51" s="146"/>
      <c r="E51" s="146"/>
      <c r="F51" s="146"/>
      <c r="G51" s="146"/>
      <c r="H51" s="146"/>
      <c r="I51" s="146"/>
    </row>
    <row r="52" spans="1:9">
      <c r="A52" s="146"/>
      <c r="B52" s="146"/>
      <c r="C52" s="146"/>
      <c r="D52" s="146"/>
      <c r="E52" s="146"/>
      <c r="F52" s="146"/>
      <c r="G52" s="146"/>
      <c r="H52" s="146"/>
      <c r="I52" s="146"/>
    </row>
    <row r="53" spans="1:9" ht="15" thickBot="1">
      <c r="A53" s="146"/>
      <c r="B53" s="146"/>
      <c r="C53" s="146"/>
      <c r="D53" s="146"/>
      <c r="E53" s="146"/>
      <c r="F53" s="146"/>
      <c r="G53" s="146"/>
      <c r="H53" s="146"/>
      <c r="I53" s="146"/>
    </row>
    <row r="54" spans="1:9" ht="9.9499999999999993" customHeight="1">
      <c r="A54" s="146"/>
      <c r="B54" s="608"/>
      <c r="C54" s="608"/>
      <c r="D54" s="608"/>
      <c r="E54" s="608"/>
      <c r="F54" s="608"/>
      <c r="G54" s="608"/>
      <c r="H54" s="608"/>
      <c r="I54" s="146"/>
    </row>
  </sheetData>
  <mergeCells count="39">
    <mergeCell ref="B4:H4"/>
    <mergeCell ref="C2:E2"/>
    <mergeCell ref="C20:G20"/>
    <mergeCell ref="C29:G29"/>
    <mergeCell ref="C26:D26"/>
    <mergeCell ref="C19:D19"/>
    <mergeCell ref="C28:D28"/>
    <mergeCell ref="C11:D11"/>
    <mergeCell ref="B6:C6"/>
    <mergeCell ref="B7:C7"/>
    <mergeCell ref="B8:C8"/>
    <mergeCell ref="C12:G12"/>
    <mergeCell ref="D9:F9"/>
    <mergeCell ref="C33:D33"/>
    <mergeCell ref="C21:D21"/>
    <mergeCell ref="C25:D25"/>
    <mergeCell ref="C13:D13"/>
    <mergeCell ref="C15:D15"/>
    <mergeCell ref="C16:D16"/>
    <mergeCell ref="C17:D17"/>
    <mergeCell ref="C14:D14"/>
    <mergeCell ref="C30:D30"/>
    <mergeCell ref="C22:D22"/>
    <mergeCell ref="C23:D23"/>
    <mergeCell ref="C24:D24"/>
    <mergeCell ref="C31:E31"/>
    <mergeCell ref="C36:D36"/>
    <mergeCell ref="C37:D37"/>
    <mergeCell ref="C38:D38"/>
    <mergeCell ref="C39:D39"/>
    <mergeCell ref="C34:G34"/>
    <mergeCell ref="C35:D35"/>
    <mergeCell ref="C40:D40"/>
    <mergeCell ref="B54:H54"/>
    <mergeCell ref="C45:F45"/>
    <mergeCell ref="C41:D41"/>
    <mergeCell ref="C42:D42"/>
    <mergeCell ref="C46:G46"/>
    <mergeCell ref="C43:D43"/>
  </mergeCells>
  <hyperlinks>
    <hyperlink ref="B6:C6" location="PLS!A1" display="Capa"/>
    <hyperlink ref="B7:C7" location="LIGA!A1" display="Ligações"/>
    <hyperlink ref="C13" location="'A01'!A14" display="Estimativas da População Residente em 2007"/>
    <hyperlink ref="C15" location="'A01'!A54" display="Índices Demográficos"/>
    <hyperlink ref="C16" location="'A01'!A100" display="Natalidade"/>
    <hyperlink ref="C17:D17" location="'A01'!A132" display="Esperança de Vida"/>
    <hyperlink ref="G11" location="'A01'!A1" display="entrar"/>
    <hyperlink ref="G19" location="'B01'!A1" display="entrar"/>
    <hyperlink ref="G28" location="'C01'!A1" display="entrar"/>
    <hyperlink ref="G33" location="'D01'!A1" display="entrar"/>
    <hyperlink ref="C21:D21" location="'B01'!A14" display="Situação Perante o Emprego"/>
    <hyperlink ref="C25:D25" location="'B01'!A155" display="Economia"/>
    <hyperlink ref="C26:D26" location="'B01'!A183" display="Ambiente / Infraestruturas"/>
    <hyperlink ref="G45" location="'E01'!A1" display="Quadro Resumo"/>
    <hyperlink ref="G6" location="FTEC!A1" display="Ficha Técnica"/>
    <hyperlink ref="C41:D41" location="'D04'!A17" display="Morbilidade nos Cuidados de Saúde Primários"/>
    <hyperlink ref="C40:D40" location="'D03'!A17" display="Taxa de Mortalidade Padronizada pela idade (TMP)"/>
    <hyperlink ref="C39:D39" location="'D02'!A17" display="Mortalidade Proporcional"/>
    <hyperlink ref="C37:D37" location="'D01'!A45" display="Óbitos e Taxa Bruta de Mortalidade"/>
    <hyperlink ref="C42:D42" location="'D05'!A17" display="VIH /sida"/>
    <hyperlink ref="C43:D43" location="'D05'!A79" display="Tuberculose"/>
    <hyperlink ref="C14" location="'A01'!A75" display="Pirâmides Etárias"/>
    <hyperlink ref="C14:D14" location="'A01'!A37" display="Pirâmides Etárias"/>
    <hyperlink ref="C15:D15" location="'A01'!A63" display="Índices Demográficos"/>
    <hyperlink ref="C30:D30" location="'C01'!A10" display="Nascimentos em Mulheres em Idade de Risco"/>
    <hyperlink ref="C16:D16" location="'A01'!A101" display="Natalidade"/>
    <hyperlink ref="C22:D22" location="'B01'!A76" display="Suporte Social"/>
    <hyperlink ref="C23:D23" location="'B01'!A106" display="Segurança"/>
    <hyperlink ref="C35:D35" location="'D01'!A17" display="Nascimentos Pré-Termo e Baixo Peso à Nascença"/>
    <hyperlink ref="C31:D31" location="'C01'!A42" display="Determinantes da Saúde nos Cuidados de Saúde Primários"/>
    <hyperlink ref="C38:D38" location="'D01'!A63" display="Mortalidade Infantil e Componentes"/>
    <hyperlink ref="B8:C8" location="PLS!A26" display="Aspetos a destacar"/>
    <hyperlink ref="C24:D24" location="'B01'!A127" display="Educação"/>
    <hyperlink ref="C31:E31" location="'C01'!A39" display="Determinantes de Saúde - Registo nos Cuidados de Saúde Primários"/>
  </hyperlinks>
  <pageMargins left="0.39370078740157483" right="0.19685039370078741" top="0.78740157480314965" bottom="0.3937007874015748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sheetPr codeName="Folha3"/>
  <dimension ref="A1:L19"/>
  <sheetViews>
    <sheetView workbookViewId="0"/>
  </sheetViews>
  <sheetFormatPr defaultRowHeight="14.25"/>
  <cols>
    <col min="1" max="2" width="2.7109375" style="6" customWidth="1"/>
    <col min="3" max="3" width="15.7109375" style="6" customWidth="1"/>
    <col min="4" max="4" width="25.7109375" style="6" customWidth="1"/>
    <col min="5" max="5" width="2.7109375" style="6" customWidth="1"/>
    <col min="6" max="6" width="15.7109375" style="6" customWidth="1"/>
    <col min="7" max="7" width="25.7109375" style="6" customWidth="1"/>
    <col min="8" max="8" width="2.7109375" style="6" customWidth="1"/>
    <col min="9" max="9" width="15.7109375" style="6" customWidth="1"/>
    <col min="10" max="10" width="25.7109375" style="6" customWidth="1"/>
    <col min="11" max="12" width="2.7109375" style="6" customWidth="1"/>
    <col min="13" max="16384" width="9.140625" style="6"/>
  </cols>
  <sheetData>
    <row r="1" spans="1:12" ht="9.9499999999999993" customHeight="1">
      <c r="A1" s="174"/>
      <c r="B1" s="174"/>
      <c r="C1" s="174"/>
      <c r="D1" s="174"/>
      <c r="E1" s="174"/>
      <c r="F1" s="174"/>
      <c r="G1" s="174"/>
      <c r="H1" s="174"/>
      <c r="I1" s="174"/>
      <c r="J1" s="174"/>
      <c r="K1" s="174"/>
      <c r="L1" s="174"/>
    </row>
    <row r="2" spans="1:12" ht="15">
      <c r="A2" s="174"/>
      <c r="B2" s="174"/>
      <c r="C2" s="630" t="str">
        <f>AUX!A1</f>
        <v>Perfil Local de Saúde 2014</v>
      </c>
      <c r="D2" s="630"/>
      <c r="E2" s="630"/>
      <c r="F2" s="630"/>
      <c r="G2" s="174"/>
      <c r="H2" s="174"/>
      <c r="I2" s="174"/>
      <c r="J2" s="174"/>
      <c r="K2" s="174"/>
      <c r="L2" s="174"/>
    </row>
    <row r="3" spans="1:12" ht="5.0999999999999996" customHeight="1">
      <c r="A3" s="174"/>
      <c r="B3" s="174"/>
      <c r="C3" s="174"/>
      <c r="D3" s="174"/>
      <c r="E3" s="174"/>
      <c r="F3" s="174"/>
      <c r="G3" s="174"/>
      <c r="H3" s="174"/>
      <c r="I3" s="174"/>
      <c r="J3" s="174"/>
      <c r="K3" s="174"/>
      <c r="L3" s="174"/>
    </row>
    <row r="4" spans="1:12" ht="30" customHeight="1">
      <c r="A4" s="174"/>
      <c r="B4" s="629">
        <f>AUX!A3</f>
        <v>0</v>
      </c>
      <c r="C4" s="629"/>
      <c r="D4" s="629"/>
      <c r="E4" s="629"/>
      <c r="F4" s="629"/>
      <c r="G4" s="629"/>
      <c r="H4" s="629"/>
      <c r="I4" s="629"/>
      <c r="J4" s="629"/>
      <c r="K4" s="629"/>
      <c r="L4" s="174"/>
    </row>
    <row r="5" spans="1:12" ht="5.0999999999999996" customHeight="1">
      <c r="A5" s="174"/>
      <c r="B5" s="174"/>
      <c r="C5" s="174"/>
      <c r="D5" s="174"/>
      <c r="E5" s="174"/>
      <c r="F5" s="174"/>
      <c r="G5" s="174"/>
      <c r="H5" s="174"/>
      <c r="I5" s="174"/>
      <c r="J5" s="174"/>
      <c r="K5" s="174"/>
      <c r="L5" s="174"/>
    </row>
    <row r="6" spans="1:12">
      <c r="A6" s="174"/>
      <c r="B6" s="642" t="s">
        <v>3</v>
      </c>
      <c r="C6" s="642"/>
      <c r="D6" s="174"/>
      <c r="E6" s="174"/>
      <c r="F6" s="174"/>
      <c r="G6" s="174"/>
      <c r="H6" s="174"/>
      <c r="I6" s="174"/>
      <c r="J6" s="168" t="s">
        <v>82</v>
      </c>
      <c r="K6" s="174"/>
      <c r="L6" s="174"/>
    </row>
    <row r="7" spans="1:12">
      <c r="A7" s="174"/>
      <c r="B7" s="642" t="s">
        <v>0</v>
      </c>
      <c r="C7" s="642"/>
      <c r="D7" s="174"/>
      <c r="E7" s="174"/>
      <c r="F7" s="174"/>
      <c r="G7" s="174"/>
      <c r="H7" s="174"/>
      <c r="I7" s="174"/>
      <c r="J7" s="174"/>
      <c r="K7" s="174"/>
      <c r="L7" s="174"/>
    </row>
    <row r="8" spans="1:12">
      <c r="A8" s="174"/>
      <c r="B8" s="642" t="s">
        <v>274</v>
      </c>
      <c r="C8" s="642"/>
      <c r="D8" s="174"/>
      <c r="E8" s="174"/>
      <c r="F8" s="174"/>
      <c r="G8" s="174"/>
      <c r="H8" s="174"/>
      <c r="I8" s="174"/>
      <c r="J8" s="174"/>
      <c r="K8" s="174"/>
      <c r="L8" s="174"/>
    </row>
    <row r="9" spans="1:12" s="166" customFormat="1" ht="20.100000000000001" customHeight="1">
      <c r="A9" s="165"/>
      <c r="B9" s="165"/>
      <c r="C9" s="165"/>
      <c r="D9" s="638" t="s">
        <v>1</v>
      </c>
      <c r="E9" s="638"/>
      <c r="F9" s="638"/>
      <c r="G9" s="638"/>
      <c r="H9" s="638"/>
      <c r="I9" s="638"/>
      <c r="J9" s="165"/>
      <c r="K9" s="165"/>
      <c r="L9" s="165"/>
    </row>
    <row r="10" spans="1:12" ht="20.100000000000001" customHeight="1">
      <c r="A10" s="174"/>
      <c r="B10" s="174"/>
      <c r="C10" s="174"/>
      <c r="D10" s="174"/>
      <c r="E10" s="174"/>
      <c r="F10" s="174"/>
      <c r="G10" s="174"/>
      <c r="H10" s="174"/>
      <c r="I10" s="174"/>
      <c r="J10" s="174"/>
      <c r="K10" s="174"/>
      <c r="L10" s="174"/>
    </row>
    <row r="11" spans="1:12" ht="15">
      <c r="A11" s="174"/>
      <c r="B11" s="174"/>
      <c r="C11" s="639" t="s">
        <v>68</v>
      </c>
      <c r="D11" s="639"/>
      <c r="E11" s="639"/>
      <c r="F11" s="639"/>
      <c r="G11" s="639"/>
      <c r="H11" s="639"/>
      <c r="I11" s="639"/>
      <c r="J11" s="639"/>
      <c r="K11" s="174"/>
      <c r="L11" s="174"/>
    </row>
    <row r="12" spans="1:12" ht="5.0999999999999996" customHeight="1">
      <c r="A12" s="174"/>
      <c r="B12" s="174"/>
      <c r="C12" s="640"/>
      <c r="D12" s="640"/>
      <c r="E12" s="640"/>
      <c r="F12" s="640"/>
      <c r="G12" s="640"/>
      <c r="H12" s="640"/>
      <c r="I12" s="640"/>
      <c r="J12" s="640"/>
      <c r="K12" s="174"/>
      <c r="L12" s="174"/>
    </row>
    <row r="13" spans="1:12" ht="9.9499999999999993" customHeight="1">
      <c r="A13" s="174"/>
      <c r="B13" s="174"/>
      <c r="C13" s="174"/>
      <c r="D13" s="174"/>
      <c r="E13" s="174"/>
      <c r="F13" s="174"/>
      <c r="G13" s="174"/>
      <c r="H13" s="174"/>
      <c r="I13" s="174"/>
      <c r="J13" s="174"/>
      <c r="K13" s="174"/>
      <c r="L13" s="174"/>
    </row>
    <row r="14" spans="1:12" ht="20.100000000000001" customHeight="1">
      <c r="A14" s="174"/>
      <c r="B14" s="174"/>
      <c r="C14" s="641" t="str">
        <f>"Observação: da responsabilidade do Observatório Local de Saúde " &amp; AUX!C4 &amp; " " &amp; AUX!A3</f>
        <v xml:space="preserve">Observação: da responsabilidade do Observatório Local de Saúde do </v>
      </c>
      <c r="D14" s="641"/>
      <c r="E14" s="641"/>
      <c r="F14" s="641"/>
      <c r="G14" s="641"/>
      <c r="H14" s="641"/>
      <c r="I14" s="641"/>
      <c r="J14" s="641"/>
      <c r="K14" s="174"/>
      <c r="L14" s="174"/>
    </row>
    <row r="15" spans="1:12" ht="20.100000000000001" customHeight="1">
      <c r="A15" s="174"/>
      <c r="B15" s="174"/>
      <c r="C15" s="174"/>
      <c r="D15" s="174"/>
      <c r="E15" s="174"/>
      <c r="F15" s="174"/>
      <c r="G15" s="174"/>
      <c r="H15" s="174"/>
      <c r="I15" s="174"/>
      <c r="J15" s="174"/>
      <c r="K15" s="174"/>
      <c r="L15" s="174"/>
    </row>
    <row r="16" spans="1:12" ht="20.100000000000001" customHeight="1">
      <c r="A16" s="174"/>
      <c r="B16" s="174"/>
      <c r="C16" s="174"/>
      <c r="D16" s="174"/>
      <c r="E16" s="174"/>
      <c r="F16" s="174"/>
      <c r="G16" s="174"/>
      <c r="H16" s="174"/>
      <c r="I16" s="174"/>
      <c r="J16" s="174"/>
      <c r="K16" s="174"/>
      <c r="L16" s="174"/>
    </row>
    <row r="17" spans="1:12" ht="20.100000000000001" customHeight="1">
      <c r="A17" s="174"/>
      <c r="B17" s="174"/>
      <c r="C17" s="174"/>
      <c r="D17" s="174"/>
      <c r="E17" s="174"/>
      <c r="F17" s="174"/>
      <c r="G17" s="174"/>
      <c r="H17" s="174"/>
      <c r="I17" s="174"/>
      <c r="J17" s="174"/>
      <c r="K17" s="174"/>
      <c r="L17" s="174"/>
    </row>
    <row r="18" spans="1:12" ht="20.100000000000001" customHeight="1">
      <c r="A18" s="174"/>
      <c r="B18" s="174"/>
      <c r="C18" s="174"/>
      <c r="D18" s="174"/>
      <c r="E18" s="174"/>
      <c r="F18" s="174"/>
      <c r="G18" s="174"/>
      <c r="H18" s="174"/>
      <c r="I18" s="174"/>
      <c r="J18" s="174"/>
      <c r="K18" s="174"/>
      <c r="L18" s="174"/>
    </row>
    <row r="19" spans="1:12" ht="20.100000000000001" customHeight="1">
      <c r="A19" s="174"/>
      <c r="B19" s="174"/>
      <c r="C19" s="174"/>
      <c r="D19" s="174"/>
      <c r="E19" s="174"/>
      <c r="F19" s="174"/>
      <c r="G19" s="174"/>
      <c r="H19" s="174"/>
      <c r="I19" s="174"/>
      <c r="J19" s="174"/>
      <c r="K19" s="174"/>
      <c r="L19" s="174"/>
    </row>
  </sheetData>
  <mergeCells count="9">
    <mergeCell ref="C11:J11"/>
    <mergeCell ref="C12:J12"/>
    <mergeCell ref="B4:K4"/>
    <mergeCell ref="C14:J14"/>
    <mergeCell ref="C2:F2"/>
    <mergeCell ref="B6:C6"/>
    <mergeCell ref="B7:C7"/>
    <mergeCell ref="B8:C8"/>
    <mergeCell ref="D9:I9"/>
  </mergeCells>
  <hyperlinks>
    <hyperlink ref="B6:C6" location="PLS!A1" display="Capa"/>
    <hyperlink ref="B8:C8" location="PLS!A26" display="Aspetos a destacar"/>
    <hyperlink ref="B7:C7" location="INDICE!A1" display="Índice"/>
    <hyperlink ref="J6" location="FTEC!A1" display="Ficha Técnica"/>
  </hyperlinks>
  <pageMargins left="0.39370078740157483" right="0.19685039370078741" top="0.78740157480314965" bottom="0.39370078740157483" header="0.31496062992125984" footer="0.31496062992125984"/>
  <pageSetup paperSize="9" scale="69" orientation="portrait" r:id="rId1"/>
</worksheet>
</file>

<file path=xl/worksheets/sheet5.xml><?xml version="1.0" encoding="utf-8"?>
<worksheet xmlns="http://schemas.openxmlformats.org/spreadsheetml/2006/main" xmlns:r="http://schemas.openxmlformats.org/officeDocument/2006/relationships">
  <sheetPr codeName="Folha4"/>
  <dimension ref="A1:AB167"/>
  <sheetViews>
    <sheetView zoomScaleNormal="100" workbookViewId="0"/>
  </sheetViews>
  <sheetFormatPr defaultRowHeight="14.25"/>
  <cols>
    <col min="1" max="1" width="2.7109375" style="6" customWidth="1"/>
    <col min="2" max="2" width="26.28515625" style="6" customWidth="1"/>
    <col min="3" max="5" width="9.7109375" style="6" customWidth="1"/>
    <col min="6" max="6" width="9.28515625" style="6" bestFit="1" customWidth="1"/>
    <col min="7" max="8" width="8.7109375" style="6" customWidth="1"/>
    <col min="9" max="10" width="9.28515625" style="6" bestFit="1" customWidth="1"/>
    <col min="11" max="11" width="9.7109375" style="6" bestFit="1" customWidth="1"/>
    <col min="12" max="12" width="9.28515625" style="6" bestFit="1" customWidth="1"/>
    <col min="13" max="14" width="8.7109375" style="6" customWidth="1"/>
    <col min="15" max="15" width="2.7109375" style="6" customWidth="1"/>
    <col min="16" max="16384" width="9.140625" style="6"/>
  </cols>
  <sheetData>
    <row r="1" spans="1:15" ht="9.9499999999999993" customHeight="1">
      <c r="A1" s="19"/>
      <c r="B1" s="19"/>
      <c r="C1" s="19"/>
      <c r="D1" s="19"/>
      <c r="E1" s="19"/>
      <c r="F1" s="19"/>
      <c r="G1" s="19"/>
      <c r="H1" s="19"/>
      <c r="I1" s="19"/>
      <c r="J1" s="19"/>
      <c r="K1" s="19"/>
      <c r="L1" s="19"/>
      <c r="M1" s="19"/>
      <c r="N1" s="19"/>
      <c r="O1" s="19"/>
    </row>
    <row r="2" spans="1:15" ht="20.100000000000001" customHeight="1" thickBot="1">
      <c r="A2" s="19"/>
      <c r="B2" s="693" t="str">
        <f>AUX!A1</f>
        <v>Perfil Local de Saúde 2014</v>
      </c>
      <c r="C2" s="693"/>
      <c r="D2" s="20"/>
      <c r="E2" s="20"/>
      <c r="F2" s="20"/>
      <c r="G2" s="20"/>
      <c r="H2" s="20"/>
      <c r="I2" s="688">
        <f>AUX!A3</f>
        <v>0</v>
      </c>
      <c r="J2" s="688"/>
      <c r="K2" s="688"/>
      <c r="L2" s="688"/>
      <c r="M2" s="688"/>
      <c r="N2" s="688"/>
      <c r="O2" s="19"/>
    </row>
    <row r="3" spans="1:15" ht="9.9499999999999993" customHeight="1" thickTop="1">
      <c r="A3" s="19"/>
      <c r="B3" s="19"/>
      <c r="C3" s="19"/>
      <c r="D3" s="19"/>
      <c r="E3" s="19"/>
      <c r="F3" s="19"/>
      <c r="G3" s="19"/>
      <c r="H3" s="19"/>
      <c r="I3" s="19"/>
      <c r="J3" s="19"/>
      <c r="K3" s="19"/>
      <c r="L3" s="19"/>
      <c r="M3" s="19"/>
      <c r="N3" s="19"/>
      <c r="O3" s="19"/>
    </row>
    <row r="4" spans="1:15">
      <c r="A4" s="19"/>
      <c r="B4" s="32" t="s">
        <v>0</v>
      </c>
      <c r="C4" s="19"/>
      <c r="D4" s="19"/>
      <c r="E4" s="19"/>
      <c r="F4" s="19"/>
      <c r="G4" s="19"/>
      <c r="H4" s="19"/>
      <c r="I4" s="19"/>
      <c r="J4" s="19"/>
      <c r="K4" s="19"/>
      <c r="L4" s="19"/>
      <c r="M4" s="19"/>
      <c r="N4" s="19"/>
      <c r="O4" s="19"/>
    </row>
    <row r="5" spans="1:15" ht="15" customHeight="1">
      <c r="A5" s="19"/>
      <c r="B5" s="21"/>
      <c r="C5" s="19"/>
      <c r="D5" s="19"/>
      <c r="E5" s="19"/>
      <c r="F5" s="19"/>
      <c r="G5" s="19"/>
      <c r="H5" s="19"/>
      <c r="I5" s="19"/>
      <c r="J5" s="19"/>
      <c r="K5" s="19"/>
      <c r="L5" s="19"/>
      <c r="M5" s="19"/>
      <c r="N5" s="19"/>
      <c r="O5" s="19"/>
    </row>
    <row r="6" spans="1:15" ht="24.95" customHeight="1">
      <c r="A6" s="19"/>
      <c r="B6" s="689" t="s">
        <v>4</v>
      </c>
      <c r="C6" s="689"/>
      <c r="D6" s="689"/>
      <c r="E6" s="689"/>
      <c r="F6" s="689"/>
      <c r="G6" s="689"/>
      <c r="H6" s="689"/>
      <c r="I6" s="689"/>
      <c r="J6" s="689"/>
      <c r="K6" s="689"/>
      <c r="L6" s="689"/>
      <c r="M6" s="689"/>
      <c r="N6" s="689"/>
      <c r="O6" s="19"/>
    </row>
    <row r="7" spans="1:15" ht="18" customHeight="1">
      <c r="A7" s="19"/>
      <c r="B7" s="692" t="s">
        <v>166</v>
      </c>
      <c r="C7" s="692"/>
      <c r="D7" s="692"/>
      <c r="E7" s="692"/>
      <c r="F7" s="692"/>
      <c r="G7" s="692"/>
      <c r="H7" s="692"/>
      <c r="I7" s="19"/>
      <c r="J7" s="19"/>
      <c r="K7" s="19"/>
      <c r="L7" s="19"/>
      <c r="M7" s="19"/>
      <c r="N7" s="19"/>
      <c r="O7" s="19"/>
    </row>
    <row r="8" spans="1:15" ht="15" customHeight="1">
      <c r="A8" s="19"/>
      <c r="B8" s="692" t="s">
        <v>36</v>
      </c>
      <c r="C8" s="692"/>
      <c r="D8" s="692"/>
      <c r="E8" s="692"/>
      <c r="F8" s="692"/>
      <c r="G8" s="692"/>
      <c r="H8" s="692"/>
      <c r="I8" s="19"/>
      <c r="J8" s="19"/>
      <c r="K8" s="19"/>
      <c r="L8" s="19"/>
      <c r="M8" s="19"/>
      <c r="N8" s="19"/>
      <c r="O8" s="19"/>
    </row>
    <row r="9" spans="1:15" ht="15" customHeight="1">
      <c r="A9" s="19"/>
      <c r="B9" s="692" t="s">
        <v>18</v>
      </c>
      <c r="C9" s="692"/>
      <c r="D9" s="692"/>
      <c r="E9" s="692"/>
      <c r="F9" s="692"/>
      <c r="G9" s="692"/>
      <c r="H9" s="692"/>
      <c r="I9" s="19"/>
      <c r="J9" s="19"/>
      <c r="K9" s="19"/>
      <c r="L9" s="19"/>
      <c r="M9" s="19"/>
      <c r="N9" s="19"/>
      <c r="O9" s="19"/>
    </row>
    <row r="10" spans="1:15" ht="15" customHeight="1">
      <c r="A10" s="19"/>
      <c r="B10" s="692" t="s">
        <v>37</v>
      </c>
      <c r="C10" s="692"/>
      <c r="D10" s="692"/>
      <c r="E10" s="692"/>
      <c r="F10" s="692"/>
      <c r="G10" s="692"/>
      <c r="H10" s="692"/>
      <c r="I10" s="19"/>
      <c r="J10" s="19"/>
      <c r="K10" s="19"/>
      <c r="L10" s="19"/>
      <c r="M10" s="19"/>
      <c r="N10" s="19"/>
      <c r="O10" s="19"/>
    </row>
    <row r="11" spans="1:15" ht="15" customHeight="1">
      <c r="A11" s="19"/>
      <c r="B11" s="692" t="s">
        <v>49</v>
      </c>
      <c r="C11" s="692"/>
      <c r="D11" s="692"/>
      <c r="E11" s="692"/>
      <c r="F11" s="692"/>
      <c r="G11" s="692"/>
      <c r="H11" s="692"/>
      <c r="I11" s="19"/>
      <c r="J11" s="19"/>
      <c r="K11" s="19"/>
      <c r="L11" s="19"/>
      <c r="M11" s="19"/>
      <c r="N11" s="19"/>
      <c r="O11" s="19"/>
    </row>
    <row r="12" spans="1:15" ht="9.9499999999999993" customHeight="1">
      <c r="A12" s="19"/>
      <c r="B12" s="19"/>
      <c r="C12" s="19"/>
      <c r="D12" s="19"/>
      <c r="E12" s="19"/>
      <c r="F12" s="19"/>
      <c r="G12" s="19"/>
      <c r="H12" s="19"/>
      <c r="I12" s="19"/>
      <c r="J12" s="19"/>
      <c r="K12" s="19"/>
      <c r="L12" s="19"/>
      <c r="M12" s="19"/>
      <c r="N12" s="19"/>
      <c r="O12" s="19"/>
    </row>
    <row r="13" spans="1:15" ht="9.9499999999999993" customHeight="1">
      <c r="A13" s="19"/>
      <c r="B13" s="19"/>
      <c r="C13" s="19"/>
      <c r="D13" s="19"/>
      <c r="E13" s="19"/>
      <c r="F13" s="19"/>
      <c r="G13" s="19"/>
      <c r="H13" s="19"/>
      <c r="I13" s="19"/>
      <c r="J13" s="19"/>
      <c r="K13" s="19"/>
      <c r="L13" s="19"/>
      <c r="M13" s="19"/>
      <c r="N13" s="19"/>
      <c r="O13" s="19"/>
    </row>
    <row r="14" spans="1:15" ht="20.100000000000001" customHeight="1" thickBot="1">
      <c r="A14" s="19"/>
      <c r="B14" s="690" t="s">
        <v>166</v>
      </c>
      <c r="C14" s="690"/>
      <c r="D14" s="690"/>
      <c r="E14" s="690"/>
      <c r="F14" s="690"/>
      <c r="G14" s="690"/>
      <c r="H14" s="690"/>
      <c r="I14" s="690"/>
      <c r="J14" s="690"/>
      <c r="K14" s="690"/>
      <c r="L14" s="690"/>
      <c r="M14" s="690"/>
      <c r="N14" s="690"/>
      <c r="O14" s="19"/>
    </row>
    <row r="15" spans="1:15" ht="9.9499999999999993" customHeight="1">
      <c r="A15" s="19"/>
      <c r="B15" s="19"/>
      <c r="C15" s="19"/>
      <c r="D15" s="19"/>
      <c r="E15" s="19"/>
      <c r="F15" s="19"/>
      <c r="G15" s="19"/>
      <c r="H15" s="19"/>
      <c r="I15" s="19"/>
      <c r="J15" s="19"/>
      <c r="K15" s="19"/>
      <c r="L15" s="19"/>
      <c r="M15" s="19"/>
      <c r="N15" s="19"/>
      <c r="O15" s="19"/>
    </row>
    <row r="16" spans="1:15" ht="15.95" customHeight="1">
      <c r="A16" s="19"/>
      <c r="B16" s="646" t="s">
        <v>283</v>
      </c>
      <c r="C16" s="646"/>
      <c r="D16" s="646"/>
      <c r="E16" s="646"/>
      <c r="F16" s="646"/>
      <c r="G16" s="646"/>
      <c r="H16" s="646"/>
      <c r="I16" s="646"/>
      <c r="J16" s="646"/>
      <c r="K16" s="646"/>
      <c r="L16" s="646"/>
      <c r="M16" s="646"/>
      <c r="N16" s="646"/>
      <c r="O16" s="19"/>
    </row>
    <row r="17" spans="1:28" ht="5.0999999999999996" customHeight="1">
      <c r="A17" s="19"/>
      <c r="B17" s="19"/>
      <c r="C17" s="19"/>
      <c r="D17" s="19"/>
      <c r="E17" s="19"/>
      <c r="F17" s="19"/>
      <c r="G17" s="19"/>
      <c r="H17" s="19"/>
      <c r="I17" s="19"/>
      <c r="J17" s="19"/>
      <c r="K17" s="19"/>
      <c r="L17" s="19"/>
      <c r="M17" s="19"/>
      <c r="N17" s="19"/>
      <c r="O17" s="19"/>
    </row>
    <row r="18" spans="1:28" ht="15.95" customHeight="1">
      <c r="A18" s="22"/>
      <c r="B18" s="691" t="s">
        <v>8</v>
      </c>
      <c r="C18" s="674" t="s">
        <v>9</v>
      </c>
      <c r="D18" s="674"/>
      <c r="E18" s="674"/>
      <c r="F18" s="674" t="s">
        <v>10</v>
      </c>
      <c r="G18" s="674"/>
      <c r="H18" s="674"/>
      <c r="I18" s="674" t="s">
        <v>11</v>
      </c>
      <c r="J18" s="674"/>
      <c r="K18" s="674"/>
      <c r="L18" s="674" t="s">
        <v>12</v>
      </c>
      <c r="M18" s="674"/>
      <c r="N18" s="674"/>
      <c r="O18" s="22"/>
    </row>
    <row r="19" spans="1:28" ht="15.95" customHeight="1">
      <c r="A19" s="22"/>
      <c r="B19" s="691"/>
      <c r="C19" s="33" t="s">
        <v>13</v>
      </c>
      <c r="D19" s="34" t="s">
        <v>14</v>
      </c>
      <c r="E19" s="35" t="s">
        <v>15</v>
      </c>
      <c r="F19" s="33" t="s">
        <v>13</v>
      </c>
      <c r="G19" s="34" t="s">
        <v>14</v>
      </c>
      <c r="H19" s="35" t="s">
        <v>15</v>
      </c>
      <c r="I19" s="33" t="s">
        <v>13</v>
      </c>
      <c r="J19" s="34" t="s">
        <v>14</v>
      </c>
      <c r="K19" s="35" t="s">
        <v>15</v>
      </c>
      <c r="L19" s="33" t="s">
        <v>13</v>
      </c>
      <c r="M19" s="34" t="s">
        <v>14</v>
      </c>
      <c r="N19" s="35" t="s">
        <v>15</v>
      </c>
      <c r="O19" s="22"/>
    </row>
    <row r="20" spans="1:28" ht="18" customHeight="1">
      <c r="A20" s="22"/>
      <c r="B20" s="144" t="s">
        <v>16</v>
      </c>
      <c r="C20" s="37">
        <f>AUX!B9</f>
        <v>9976649</v>
      </c>
      <c r="D20" s="38">
        <f>AUX!C9</f>
        <v>4750790</v>
      </c>
      <c r="E20" s="39">
        <f>AUX!D9</f>
        <v>5225859</v>
      </c>
      <c r="F20" s="37">
        <f>AUX!E9</f>
        <v>1464380</v>
      </c>
      <c r="G20" s="38">
        <f>AUX!F9</f>
        <v>749729</v>
      </c>
      <c r="H20" s="39">
        <f>AUX!G9</f>
        <v>714651</v>
      </c>
      <c r="I20" s="37">
        <f>AUX!H9</f>
        <v>6550263</v>
      </c>
      <c r="J20" s="38">
        <f>AUX!I9</f>
        <v>3186183</v>
      </c>
      <c r="K20" s="39">
        <f>AUX!J9</f>
        <v>3364080</v>
      </c>
      <c r="L20" s="37">
        <f>AUX!K9</f>
        <v>1962006</v>
      </c>
      <c r="M20" s="38">
        <f>AUX!L9</f>
        <v>814878</v>
      </c>
      <c r="N20" s="39">
        <f>AUX!M9</f>
        <v>1147128</v>
      </c>
      <c r="O20" s="22"/>
      <c r="Q20" s="23"/>
      <c r="R20" s="23"/>
      <c r="S20" s="23"/>
      <c r="T20" s="23"/>
      <c r="U20" s="23"/>
      <c r="V20" s="23"/>
      <c r="W20" s="23"/>
      <c r="X20" s="23"/>
      <c r="Y20" s="23"/>
      <c r="Z20" s="23"/>
      <c r="AA20" s="23"/>
      <c r="AB20" s="23"/>
    </row>
    <row r="21" spans="1:28" ht="18" customHeight="1">
      <c r="A21" s="22"/>
      <c r="B21" s="145">
        <f>AUX!A2</f>
        <v>0</v>
      </c>
      <c r="C21" s="40">
        <f>AUX!B10</f>
        <v>0</v>
      </c>
      <c r="D21" s="41">
        <f>AUX!C10</f>
        <v>0</v>
      </c>
      <c r="E21" s="42">
        <f>AUX!D10</f>
        <v>0</v>
      </c>
      <c r="F21" s="40">
        <f>AUX!E10</f>
        <v>0</v>
      </c>
      <c r="G21" s="41">
        <f>AUX!F10</f>
        <v>0</v>
      </c>
      <c r="H21" s="42">
        <f>AUX!G10</f>
        <v>0</v>
      </c>
      <c r="I21" s="40">
        <f>AUX!H10</f>
        <v>0</v>
      </c>
      <c r="J21" s="41">
        <f>AUX!I10</f>
        <v>0</v>
      </c>
      <c r="K21" s="42">
        <f>AUX!J10</f>
        <v>0</v>
      </c>
      <c r="L21" s="40">
        <f>AUX!K10</f>
        <v>0</v>
      </c>
      <c r="M21" s="41">
        <f>AUX!L10</f>
        <v>0</v>
      </c>
      <c r="N21" s="42">
        <f>AUX!M10</f>
        <v>0</v>
      </c>
      <c r="O21" s="22"/>
      <c r="Q21" s="23"/>
      <c r="R21" s="23"/>
      <c r="S21" s="23"/>
      <c r="T21" s="23"/>
      <c r="U21" s="23"/>
      <c r="V21" s="23"/>
      <c r="W21" s="23"/>
      <c r="X21" s="23"/>
      <c r="Y21" s="23"/>
      <c r="Z21" s="23"/>
      <c r="AA21" s="23"/>
      <c r="AB21" s="23"/>
    </row>
    <row r="22" spans="1:28" ht="15.95" customHeight="1">
      <c r="A22" s="22"/>
      <c r="B22" s="594">
        <f>AUX!A3</f>
        <v>0</v>
      </c>
      <c r="C22" s="43">
        <f>AUX!B11</f>
        <v>0</v>
      </c>
      <c r="D22" s="44">
        <f>AUX!C11</f>
        <v>0</v>
      </c>
      <c r="E22" s="45">
        <f>AUX!D11</f>
        <v>0</v>
      </c>
      <c r="F22" s="43">
        <f>AUX!E11</f>
        <v>0</v>
      </c>
      <c r="G22" s="44">
        <f>AUX!F11</f>
        <v>0</v>
      </c>
      <c r="H22" s="45">
        <f>AUX!G11</f>
        <v>0</v>
      </c>
      <c r="I22" s="43">
        <f>AUX!H11</f>
        <v>0</v>
      </c>
      <c r="J22" s="44">
        <f>AUX!I11</f>
        <v>0</v>
      </c>
      <c r="K22" s="45">
        <f>AUX!J11</f>
        <v>0</v>
      </c>
      <c r="L22" s="43">
        <f>AUX!K11</f>
        <v>0</v>
      </c>
      <c r="M22" s="44">
        <f>AUX!L11</f>
        <v>0</v>
      </c>
      <c r="N22" s="45">
        <f>AUX!M11</f>
        <v>0</v>
      </c>
      <c r="O22" s="22"/>
      <c r="Q22" s="23"/>
      <c r="R22" s="23"/>
      <c r="S22" s="23"/>
      <c r="T22" s="23"/>
      <c r="U22" s="23"/>
      <c r="V22" s="23"/>
      <c r="W22" s="23"/>
      <c r="X22" s="23"/>
      <c r="Y22" s="23"/>
      <c r="Z22" s="23"/>
      <c r="AA22" s="23"/>
      <c r="AB22" s="23"/>
    </row>
    <row r="23" spans="1:28" ht="12.75" customHeight="1">
      <c r="A23" s="19"/>
      <c r="B23" s="666" t="s">
        <v>51</v>
      </c>
      <c r="C23" s="666"/>
      <c r="D23" s="666"/>
      <c r="E23" s="666"/>
      <c r="F23" s="24"/>
      <c r="G23" s="24"/>
      <c r="H23" s="24"/>
      <c r="I23" s="24"/>
      <c r="J23" s="24"/>
      <c r="K23" s="651" t="s">
        <v>690</v>
      </c>
      <c r="L23" s="651"/>
      <c r="M23" s="651"/>
      <c r="N23" s="651"/>
      <c r="O23" s="19"/>
    </row>
    <row r="24" spans="1:28" ht="20.100000000000001" customHeight="1">
      <c r="A24" s="19"/>
      <c r="B24" s="19"/>
      <c r="C24" s="19"/>
      <c r="D24" s="19"/>
      <c r="E24" s="19"/>
      <c r="F24" s="19"/>
      <c r="G24" s="19"/>
      <c r="H24" s="19"/>
      <c r="I24" s="19"/>
      <c r="J24" s="19"/>
      <c r="K24" s="19"/>
      <c r="L24" s="19"/>
      <c r="M24" s="19"/>
      <c r="N24" s="19"/>
      <c r="O24" s="19"/>
    </row>
    <row r="25" spans="1:28" ht="15.95" customHeight="1">
      <c r="A25" s="19"/>
      <c r="B25" s="646" t="s">
        <v>167</v>
      </c>
      <c r="C25" s="646"/>
      <c r="D25" s="646"/>
      <c r="E25" s="646"/>
      <c r="F25" s="646"/>
      <c r="G25" s="646"/>
      <c r="H25" s="646"/>
      <c r="I25" s="646"/>
      <c r="J25" s="646"/>
      <c r="K25" s="646"/>
      <c r="L25" s="646"/>
      <c r="M25" s="646"/>
      <c r="N25" s="646"/>
      <c r="O25" s="19"/>
    </row>
    <row r="26" spans="1:28" ht="5.0999999999999996" customHeight="1">
      <c r="A26" s="19"/>
      <c r="B26" s="19"/>
      <c r="C26" s="19"/>
      <c r="D26" s="19"/>
      <c r="E26" s="19"/>
      <c r="F26" s="19"/>
      <c r="G26" s="19"/>
      <c r="H26" s="19"/>
      <c r="I26" s="19"/>
      <c r="J26" s="19"/>
      <c r="K26" s="19"/>
      <c r="L26" s="19"/>
      <c r="M26" s="19"/>
      <c r="N26" s="19"/>
      <c r="O26" s="19"/>
    </row>
    <row r="27" spans="1:28" ht="15.95" customHeight="1">
      <c r="A27" s="22"/>
      <c r="B27" s="675" t="s">
        <v>8</v>
      </c>
      <c r="C27" s="677" t="s">
        <v>166</v>
      </c>
      <c r="D27" s="678"/>
      <c r="E27" s="678"/>
      <c r="F27" s="678"/>
      <c r="G27" s="678"/>
      <c r="H27" s="679"/>
      <c r="I27" s="683" t="s">
        <v>168</v>
      </c>
      <c r="J27" s="684"/>
      <c r="K27" s="684"/>
      <c r="L27" s="684"/>
      <c r="M27" s="684"/>
      <c r="N27" s="685"/>
      <c r="O27" s="22"/>
    </row>
    <row r="28" spans="1:28" ht="15.95" customHeight="1">
      <c r="A28" s="22"/>
      <c r="B28" s="675"/>
      <c r="C28" s="680"/>
      <c r="D28" s="681"/>
      <c r="E28" s="681"/>
      <c r="F28" s="681"/>
      <c r="G28" s="681"/>
      <c r="H28" s="682"/>
      <c r="I28" s="674" t="s">
        <v>169</v>
      </c>
      <c r="J28" s="674"/>
      <c r="K28" s="674"/>
      <c r="L28" s="674" t="s">
        <v>170</v>
      </c>
      <c r="M28" s="674"/>
      <c r="N28" s="674"/>
      <c r="O28" s="22"/>
    </row>
    <row r="29" spans="1:28" ht="15.95" customHeight="1">
      <c r="A29" s="22"/>
      <c r="B29" s="676"/>
      <c r="C29" s="687">
        <v>1991</v>
      </c>
      <c r="D29" s="687"/>
      <c r="E29" s="687">
        <v>2001</v>
      </c>
      <c r="F29" s="687"/>
      <c r="G29" s="687">
        <v>2011</v>
      </c>
      <c r="H29" s="687"/>
      <c r="I29" s="686" t="s">
        <v>171</v>
      </c>
      <c r="J29" s="686"/>
      <c r="K29" s="82" t="s">
        <v>114</v>
      </c>
      <c r="L29" s="686" t="s">
        <v>171</v>
      </c>
      <c r="M29" s="686"/>
      <c r="N29" s="82" t="s">
        <v>114</v>
      </c>
      <c r="O29" s="22"/>
    </row>
    <row r="30" spans="1:28" ht="18" customHeight="1">
      <c r="A30" s="22"/>
      <c r="B30" s="144" t="s">
        <v>16</v>
      </c>
      <c r="C30" s="665">
        <f>AUX!B15</f>
        <v>9375926</v>
      </c>
      <c r="D30" s="665"/>
      <c r="E30" s="665">
        <f>AUX!C15</f>
        <v>9869343</v>
      </c>
      <c r="F30" s="665"/>
      <c r="G30" s="665">
        <f>AUX!D15</f>
        <v>10047621</v>
      </c>
      <c r="H30" s="665"/>
      <c r="I30" s="656">
        <f>E30-C30</f>
        <v>493417</v>
      </c>
      <c r="J30" s="657"/>
      <c r="K30" s="83">
        <f>I30/C30*100</f>
        <v>5.2625948626301016</v>
      </c>
      <c r="L30" s="656">
        <f>G30-E30</f>
        <v>178278</v>
      </c>
      <c r="M30" s="657"/>
      <c r="N30" s="83">
        <f>L30/E30*100</f>
        <v>1.8063816406016084</v>
      </c>
      <c r="O30" s="22"/>
      <c r="Q30" s="23"/>
      <c r="R30" s="23"/>
      <c r="S30" s="23"/>
      <c r="T30" s="23"/>
      <c r="U30" s="23"/>
      <c r="V30" s="23"/>
      <c r="W30" s="23"/>
      <c r="X30" s="23"/>
      <c r="Y30" s="23"/>
      <c r="Z30" s="23"/>
      <c r="AA30" s="23"/>
      <c r="AB30" s="23"/>
    </row>
    <row r="31" spans="1:28" ht="18" customHeight="1">
      <c r="A31" s="22"/>
      <c r="B31" s="145">
        <f>AUX!A2</f>
        <v>0</v>
      </c>
      <c r="C31" s="667">
        <f>AUX!B16</f>
        <v>0</v>
      </c>
      <c r="D31" s="668"/>
      <c r="E31" s="667">
        <f>AUX!C16</f>
        <v>0</v>
      </c>
      <c r="F31" s="668"/>
      <c r="G31" s="667">
        <f>AUX!D16</f>
        <v>0</v>
      </c>
      <c r="H31" s="668"/>
      <c r="I31" s="658">
        <f>E31-C31</f>
        <v>0</v>
      </c>
      <c r="J31" s="659"/>
      <c r="K31" s="84" t="e">
        <f>I31/C31*100</f>
        <v>#DIV/0!</v>
      </c>
      <c r="L31" s="658">
        <f>G31-E31</f>
        <v>0</v>
      </c>
      <c r="M31" s="659"/>
      <c r="N31" s="84" t="e">
        <f>L31/E31*100</f>
        <v>#DIV/0!</v>
      </c>
      <c r="O31" s="22"/>
      <c r="Q31" s="23"/>
      <c r="R31" s="23"/>
      <c r="S31" s="23"/>
      <c r="T31" s="23"/>
      <c r="U31" s="23"/>
      <c r="V31" s="23"/>
      <c r="W31" s="23"/>
      <c r="X31" s="23"/>
      <c r="Y31" s="23"/>
      <c r="Z31" s="23"/>
      <c r="AA31" s="23"/>
      <c r="AB31" s="23"/>
    </row>
    <row r="32" spans="1:28" ht="15.95" customHeight="1">
      <c r="A32" s="22"/>
      <c r="B32" s="594">
        <f>AUX!A3</f>
        <v>0</v>
      </c>
      <c r="C32" s="669">
        <f>AUX!B17</f>
        <v>0</v>
      </c>
      <c r="D32" s="670"/>
      <c r="E32" s="669">
        <f>AUX!C17</f>
        <v>0</v>
      </c>
      <c r="F32" s="670"/>
      <c r="G32" s="669">
        <f>AUX!D17</f>
        <v>0</v>
      </c>
      <c r="H32" s="670"/>
      <c r="I32" s="660">
        <f>E32-C32</f>
        <v>0</v>
      </c>
      <c r="J32" s="661"/>
      <c r="K32" s="85" t="e">
        <f>I32/C32*100</f>
        <v>#DIV/0!</v>
      </c>
      <c r="L32" s="660">
        <f>G32-E32</f>
        <v>0</v>
      </c>
      <c r="M32" s="661"/>
      <c r="N32" s="85" t="e">
        <f>L32/E32*100</f>
        <v>#DIV/0!</v>
      </c>
      <c r="O32" s="22"/>
      <c r="Q32" s="23"/>
      <c r="R32" s="23"/>
      <c r="S32" s="23"/>
      <c r="T32" s="23"/>
      <c r="U32" s="23"/>
      <c r="V32" s="23"/>
      <c r="W32" s="23"/>
      <c r="X32" s="23"/>
      <c r="Y32" s="23"/>
      <c r="Z32" s="23"/>
      <c r="AA32" s="23"/>
      <c r="AB32" s="23"/>
    </row>
    <row r="33" spans="1:15" ht="12.75" customHeight="1">
      <c r="A33" s="19"/>
      <c r="B33" s="666"/>
      <c r="C33" s="666"/>
      <c r="D33" s="666"/>
      <c r="E33" s="666"/>
      <c r="F33" s="24"/>
      <c r="G33" s="24"/>
      <c r="H33" s="24"/>
      <c r="I33" s="24"/>
      <c r="J33" s="24"/>
      <c r="K33" s="651" t="s">
        <v>690</v>
      </c>
      <c r="L33" s="651"/>
      <c r="M33" s="651"/>
      <c r="N33" s="651"/>
      <c r="O33" s="19"/>
    </row>
    <row r="34" spans="1:15" ht="9.9499999999999993" customHeight="1">
      <c r="A34" s="19"/>
      <c r="B34" s="19"/>
      <c r="C34" s="19"/>
      <c r="D34" s="19"/>
      <c r="E34" s="19"/>
      <c r="F34" s="19"/>
      <c r="G34" s="19"/>
      <c r="H34" s="19"/>
      <c r="I34" s="19"/>
      <c r="J34" s="19"/>
      <c r="K34" s="19"/>
      <c r="L34" s="19"/>
      <c r="M34" s="19"/>
      <c r="N34" s="19"/>
      <c r="O34" s="19"/>
    </row>
    <row r="35" spans="1:15">
      <c r="A35" s="19"/>
      <c r="B35" s="120" t="s">
        <v>28</v>
      </c>
      <c r="C35" s="19"/>
      <c r="D35" s="19"/>
      <c r="E35" s="19"/>
      <c r="F35" s="19"/>
      <c r="G35" s="19"/>
      <c r="H35" s="19"/>
      <c r="I35" s="19"/>
      <c r="J35" s="19"/>
      <c r="K35" s="19"/>
      <c r="L35" s="19"/>
      <c r="M35" s="19"/>
      <c r="N35" s="19"/>
      <c r="O35" s="19"/>
    </row>
    <row r="36" spans="1:15" ht="20.100000000000001" customHeight="1">
      <c r="A36" s="19"/>
      <c r="B36" s="19"/>
      <c r="C36" s="19"/>
      <c r="D36" s="19"/>
      <c r="E36" s="19"/>
      <c r="F36" s="19"/>
      <c r="G36" s="19"/>
      <c r="H36" s="19"/>
      <c r="I36" s="19"/>
      <c r="J36" s="19"/>
      <c r="K36" s="19"/>
      <c r="L36" s="19"/>
      <c r="M36" s="19"/>
      <c r="N36" s="19"/>
      <c r="O36" s="19"/>
    </row>
    <row r="37" spans="1:15" ht="20.100000000000001" customHeight="1" thickBot="1">
      <c r="A37" s="19"/>
      <c r="B37" s="650" t="s">
        <v>36</v>
      </c>
      <c r="C37" s="650"/>
      <c r="D37" s="650"/>
      <c r="E37" s="650"/>
      <c r="F37" s="650"/>
      <c r="G37" s="650"/>
      <c r="H37" s="650"/>
      <c r="I37" s="650"/>
      <c r="J37" s="650"/>
      <c r="K37" s="650"/>
      <c r="L37" s="650"/>
      <c r="M37" s="650"/>
      <c r="N37" s="650"/>
      <c r="O37" s="19"/>
    </row>
    <row r="38" spans="1:15" ht="9.9499999999999993" customHeight="1">
      <c r="A38" s="19"/>
      <c r="B38" s="19"/>
      <c r="C38" s="19"/>
      <c r="D38" s="19"/>
      <c r="E38" s="19"/>
      <c r="F38" s="19"/>
      <c r="G38" s="19"/>
      <c r="H38" s="19"/>
      <c r="I38" s="19"/>
      <c r="J38" s="19"/>
      <c r="K38" s="19"/>
      <c r="L38" s="19"/>
      <c r="M38" s="19"/>
      <c r="N38" s="19"/>
      <c r="O38" s="19"/>
    </row>
    <row r="39" spans="1:15" ht="24.95" customHeight="1">
      <c r="A39" s="19"/>
      <c r="B39" s="645" t="str">
        <f>"PIRÂMIDES ETÁRIAS " &amp; AUX!F3 &amp; ", 1991 e 2012"</f>
        <v>PIRÂMIDES ETÁRIAS DO , 1991 e 2012</v>
      </c>
      <c r="C39" s="645"/>
      <c r="D39" s="645"/>
      <c r="E39" s="645"/>
      <c r="F39" s="645"/>
      <c r="G39" s="63"/>
      <c r="H39" s="645" t="str">
        <f>"PIRÂMIDES ETÁRIAS " &amp; AUX!I2 &amp; " E " &amp; AUX!F3 &amp; " (ESTIMATIVAS 2012)"</f>
        <v>PIRÂMIDES ETÁRIAS DA  E DO  (ESTIMATIVAS 2012)</v>
      </c>
      <c r="I39" s="645"/>
      <c r="J39" s="645"/>
      <c r="K39" s="645"/>
      <c r="L39" s="645"/>
      <c r="M39" s="645"/>
      <c r="N39" s="645"/>
      <c r="O39" s="19"/>
    </row>
    <row r="40" spans="1:15" ht="15.95" customHeight="1">
      <c r="A40" s="19"/>
      <c r="B40" s="662"/>
      <c r="C40" s="662"/>
      <c r="D40" s="662"/>
      <c r="E40" s="662"/>
      <c r="F40" s="662"/>
      <c r="G40" s="26"/>
      <c r="H40" s="662"/>
      <c r="I40" s="662"/>
      <c r="J40" s="662"/>
      <c r="K40" s="662"/>
      <c r="L40" s="662"/>
      <c r="M40" s="662"/>
      <c r="N40" s="662"/>
      <c r="O40" s="19"/>
    </row>
    <row r="41" spans="1:15" ht="15.95" customHeight="1">
      <c r="A41" s="19"/>
      <c r="B41" s="27"/>
      <c r="C41" s="27"/>
      <c r="D41" s="27"/>
      <c r="E41" s="27"/>
      <c r="F41" s="28"/>
      <c r="G41" s="28"/>
      <c r="H41" s="28"/>
      <c r="I41" s="28"/>
      <c r="J41" s="28"/>
      <c r="K41" s="28"/>
      <c r="L41" s="28"/>
      <c r="M41" s="28"/>
      <c r="N41" s="28"/>
      <c r="O41" s="19"/>
    </row>
    <row r="42" spans="1:15" ht="15.95" customHeight="1">
      <c r="A42" s="19"/>
      <c r="B42" s="27"/>
      <c r="C42" s="27"/>
      <c r="D42" s="27"/>
      <c r="E42" s="27"/>
      <c r="F42" s="28"/>
      <c r="G42" s="28"/>
      <c r="H42" s="28"/>
      <c r="I42" s="28"/>
      <c r="J42" s="28"/>
      <c r="K42" s="28"/>
      <c r="L42" s="28"/>
      <c r="M42" s="28"/>
      <c r="N42" s="28"/>
      <c r="O42" s="19"/>
    </row>
    <row r="43" spans="1:15" ht="15.95" customHeight="1">
      <c r="A43" s="19"/>
      <c r="B43" s="27"/>
      <c r="C43" s="27"/>
      <c r="D43" s="27"/>
      <c r="E43" s="27"/>
      <c r="F43" s="28"/>
      <c r="G43" s="28"/>
      <c r="H43" s="28"/>
      <c r="I43" s="28"/>
      <c r="J43" s="28"/>
      <c r="K43" s="28"/>
      <c r="L43" s="28"/>
      <c r="M43" s="28"/>
      <c r="N43" s="28"/>
      <c r="O43" s="19"/>
    </row>
    <row r="44" spans="1:15" ht="15.95" customHeight="1">
      <c r="A44" s="19"/>
      <c r="B44" s="27"/>
      <c r="C44" s="27"/>
      <c r="D44" s="27"/>
      <c r="E44" s="27"/>
      <c r="F44" s="28"/>
      <c r="G44" s="28"/>
      <c r="H44" s="28"/>
      <c r="I44" s="28"/>
      <c r="J44" s="28"/>
      <c r="K44" s="28"/>
      <c r="L44" s="28"/>
      <c r="M44" s="28"/>
      <c r="N44" s="28"/>
      <c r="O44" s="19"/>
    </row>
    <row r="45" spans="1:15" ht="15.95" customHeight="1">
      <c r="A45" s="19"/>
      <c r="B45" s="27"/>
      <c r="C45" s="27"/>
      <c r="D45" s="27"/>
      <c r="E45" s="27"/>
      <c r="F45" s="28"/>
      <c r="G45" s="28"/>
      <c r="H45" s="28"/>
      <c r="I45" s="28"/>
      <c r="J45" s="28"/>
      <c r="K45" s="28"/>
      <c r="L45" s="28"/>
      <c r="M45" s="28"/>
      <c r="N45" s="28"/>
      <c r="O45" s="19"/>
    </row>
    <row r="46" spans="1:15" ht="15.95" customHeight="1">
      <c r="A46" s="19"/>
      <c r="B46" s="27"/>
      <c r="C46" s="27"/>
      <c r="D46" s="27"/>
      <c r="E46" s="27"/>
      <c r="F46" s="28"/>
      <c r="G46" s="28"/>
      <c r="H46" s="28"/>
      <c r="I46" s="28"/>
      <c r="J46" s="28"/>
      <c r="K46" s="28"/>
      <c r="L46" s="28"/>
      <c r="M46" s="28"/>
      <c r="N46" s="28"/>
      <c r="O46" s="19"/>
    </row>
    <row r="47" spans="1:15" ht="15.95" customHeight="1">
      <c r="A47" s="19"/>
      <c r="B47" s="27"/>
      <c r="C47" s="27"/>
      <c r="D47" s="27"/>
      <c r="E47" s="27"/>
      <c r="F47" s="28"/>
      <c r="G47" s="28"/>
      <c r="H47" s="28"/>
      <c r="I47" s="28"/>
      <c r="J47" s="28"/>
      <c r="K47" s="28"/>
      <c r="L47" s="28"/>
      <c r="M47" s="28"/>
      <c r="N47" s="28"/>
      <c r="O47" s="19"/>
    </row>
    <row r="48" spans="1:15" ht="15.95" customHeight="1">
      <c r="A48" s="19"/>
      <c r="B48" s="27"/>
      <c r="C48" s="27"/>
      <c r="D48" s="27"/>
      <c r="E48" s="27"/>
      <c r="F48" s="28"/>
      <c r="G48" s="28"/>
      <c r="H48" s="28"/>
      <c r="I48" s="28"/>
      <c r="J48" s="28"/>
      <c r="K48" s="28"/>
      <c r="L48" s="28"/>
      <c r="M48" s="28"/>
      <c r="N48" s="28"/>
      <c r="O48" s="19"/>
    </row>
    <row r="49" spans="1:15" ht="15.95" customHeight="1">
      <c r="A49" s="19"/>
      <c r="B49" s="27"/>
      <c r="C49" s="27"/>
      <c r="D49" s="27"/>
      <c r="E49" s="27"/>
      <c r="F49" s="28"/>
      <c r="G49" s="28"/>
      <c r="H49" s="28"/>
      <c r="I49" s="28"/>
      <c r="J49" s="28"/>
      <c r="K49" s="28"/>
      <c r="L49" s="28"/>
      <c r="M49" s="28"/>
      <c r="N49" s="28"/>
      <c r="O49" s="19"/>
    </row>
    <row r="50" spans="1:15" ht="15.95" customHeight="1">
      <c r="A50" s="19"/>
      <c r="B50" s="27"/>
      <c r="C50" s="27"/>
      <c r="D50" s="27"/>
      <c r="E50" s="27"/>
      <c r="F50" s="28"/>
      <c r="G50" s="28"/>
      <c r="H50" s="28"/>
      <c r="I50" s="28"/>
      <c r="J50" s="28"/>
      <c r="K50" s="28"/>
      <c r="L50" s="28"/>
      <c r="M50" s="28"/>
      <c r="N50" s="28"/>
      <c r="O50" s="19"/>
    </row>
    <row r="51" spans="1:15" ht="15.95" customHeight="1">
      <c r="A51" s="19"/>
      <c r="B51" s="27"/>
      <c r="C51" s="27"/>
      <c r="D51" s="27"/>
      <c r="E51" s="27"/>
      <c r="F51" s="28"/>
      <c r="G51" s="28"/>
      <c r="H51" s="28"/>
      <c r="I51" s="28"/>
      <c r="J51" s="28"/>
      <c r="K51" s="28"/>
      <c r="L51" s="28"/>
      <c r="M51" s="28"/>
      <c r="N51" s="28"/>
      <c r="O51" s="19"/>
    </row>
    <row r="52" spans="1:15" ht="15.95" customHeight="1">
      <c r="A52" s="19"/>
      <c r="B52" s="27"/>
      <c r="C52" s="27"/>
      <c r="D52" s="27"/>
      <c r="E52" s="27"/>
      <c r="F52" s="28"/>
      <c r="G52" s="28"/>
      <c r="H52" s="28"/>
      <c r="I52" s="28"/>
      <c r="J52" s="28"/>
      <c r="K52" s="28"/>
      <c r="L52" s="28"/>
      <c r="M52" s="28"/>
      <c r="N52" s="28"/>
      <c r="O52" s="19"/>
    </row>
    <row r="53" spans="1:15" ht="15.95" customHeight="1">
      <c r="A53" s="19"/>
      <c r="B53" s="27"/>
      <c r="C53" s="27"/>
      <c r="D53" s="27"/>
      <c r="E53" s="27"/>
      <c r="F53" s="28"/>
      <c r="G53" s="28"/>
      <c r="H53" s="28"/>
      <c r="I53" s="28"/>
      <c r="J53" s="28"/>
      <c r="K53" s="28"/>
      <c r="L53" s="28"/>
      <c r="M53" s="28"/>
      <c r="N53" s="28"/>
      <c r="O53" s="19"/>
    </row>
    <row r="54" spans="1:15" ht="15.95" customHeight="1">
      <c r="A54" s="19"/>
      <c r="B54" s="27"/>
      <c r="C54" s="27"/>
      <c r="D54" s="27"/>
      <c r="E54" s="27"/>
      <c r="F54" s="28"/>
      <c r="G54" s="28"/>
      <c r="H54" s="28"/>
      <c r="I54" s="28"/>
      <c r="J54" s="28"/>
      <c r="K54" s="28"/>
      <c r="L54" s="28"/>
      <c r="M54" s="28"/>
      <c r="N54" s="28"/>
      <c r="O54" s="19"/>
    </row>
    <row r="55" spans="1:15" ht="15.95" customHeight="1">
      <c r="A55" s="19"/>
      <c r="B55" s="27"/>
      <c r="C55" s="27"/>
      <c r="D55" s="27"/>
      <c r="E55" s="27"/>
      <c r="F55" s="28"/>
      <c r="G55" s="28"/>
      <c r="H55" s="28"/>
      <c r="I55" s="28"/>
      <c r="J55" s="28"/>
      <c r="K55" s="28"/>
      <c r="L55" s="28"/>
      <c r="M55" s="28"/>
      <c r="N55" s="28"/>
      <c r="O55" s="19"/>
    </row>
    <row r="56" spans="1:15" ht="15.95" customHeight="1">
      <c r="A56" s="19"/>
      <c r="B56" s="27"/>
      <c r="C56" s="27"/>
      <c r="D56" s="27"/>
      <c r="E56" s="27"/>
      <c r="F56" s="28"/>
      <c r="G56" s="28"/>
      <c r="H56" s="28"/>
      <c r="I56" s="28"/>
      <c r="J56" s="28"/>
      <c r="K56" s="28"/>
      <c r="L56" s="28"/>
      <c r="M56" s="28"/>
      <c r="N56" s="28"/>
      <c r="O56" s="19"/>
    </row>
    <row r="57" spans="1:15" ht="15" customHeight="1">
      <c r="A57" s="19"/>
      <c r="B57" s="27"/>
      <c r="C57" s="27"/>
      <c r="D57" s="27"/>
      <c r="E57" s="27"/>
      <c r="F57" s="28"/>
      <c r="G57" s="28"/>
      <c r="H57" s="28"/>
      <c r="I57" s="28"/>
      <c r="J57" s="28"/>
      <c r="K57" s="28"/>
      <c r="L57" s="28"/>
      <c r="M57" s="28"/>
      <c r="N57" s="28"/>
      <c r="O57" s="19"/>
    </row>
    <row r="58" spans="1:15" ht="15" customHeight="1">
      <c r="A58" s="19"/>
      <c r="B58" s="27"/>
      <c r="C58" s="27"/>
      <c r="D58" s="27"/>
      <c r="E58" s="27"/>
      <c r="F58" s="28"/>
      <c r="G58" s="28"/>
      <c r="H58" s="28"/>
      <c r="I58" s="28"/>
      <c r="J58" s="28"/>
      <c r="K58" s="28"/>
      <c r="L58" s="28"/>
      <c r="M58" s="28"/>
      <c r="N58" s="28"/>
      <c r="O58" s="19"/>
    </row>
    <row r="59" spans="1:15" ht="9.9499999999999993" customHeight="1">
      <c r="A59" s="19"/>
      <c r="B59" s="27"/>
      <c r="C59" s="27"/>
      <c r="D59" s="27"/>
      <c r="E59" s="27"/>
      <c r="F59" s="28"/>
      <c r="G59" s="28"/>
      <c r="H59" s="28"/>
      <c r="I59" s="28"/>
      <c r="J59" s="28"/>
      <c r="K59" s="28"/>
      <c r="L59" s="28"/>
      <c r="M59" s="28"/>
      <c r="N59" s="28"/>
      <c r="O59" s="19"/>
    </row>
    <row r="60" spans="1:15" ht="15" customHeight="1">
      <c r="A60" s="19"/>
      <c r="B60" s="27"/>
      <c r="C60" s="652" t="s">
        <v>690</v>
      </c>
      <c r="D60" s="652"/>
      <c r="E60" s="652"/>
      <c r="F60" s="652"/>
      <c r="G60" s="28"/>
      <c r="H60" s="28"/>
      <c r="I60" s="28"/>
      <c r="J60" s="28"/>
      <c r="K60" s="652" t="s">
        <v>690</v>
      </c>
      <c r="L60" s="652"/>
      <c r="M60" s="652"/>
      <c r="N60" s="652"/>
      <c r="O60" s="19"/>
    </row>
    <row r="61" spans="1:15" ht="12.75" customHeight="1">
      <c r="A61" s="19"/>
      <c r="B61" s="120" t="s">
        <v>28</v>
      </c>
      <c r="C61" s="24"/>
      <c r="D61" s="24"/>
      <c r="E61" s="25"/>
      <c r="F61" s="24"/>
      <c r="G61" s="24"/>
      <c r="H61" s="24"/>
      <c r="I61" s="24"/>
      <c r="J61" s="24"/>
      <c r="K61" s="24"/>
      <c r="L61" s="24"/>
      <c r="M61" s="24"/>
      <c r="O61" s="19"/>
    </row>
    <row r="62" spans="1:15" ht="20.100000000000001" customHeight="1">
      <c r="A62" s="19"/>
      <c r="B62" s="27"/>
      <c r="C62" s="27"/>
      <c r="D62" s="27"/>
      <c r="E62" s="27"/>
      <c r="F62" s="28"/>
      <c r="G62" s="28"/>
      <c r="H62" s="28"/>
      <c r="I62" s="28"/>
      <c r="J62" s="28"/>
      <c r="K62" s="28"/>
      <c r="L62" s="28"/>
      <c r="M62" s="28"/>
      <c r="N62" s="28"/>
      <c r="O62" s="19"/>
    </row>
    <row r="63" spans="1:15" ht="20.100000000000001" customHeight="1" thickBot="1">
      <c r="A63" s="19"/>
      <c r="B63" s="664" t="s">
        <v>18</v>
      </c>
      <c r="C63" s="664"/>
      <c r="D63" s="664"/>
      <c r="E63" s="664"/>
      <c r="F63" s="664"/>
      <c r="G63" s="664"/>
      <c r="H63" s="664"/>
      <c r="I63" s="664"/>
      <c r="J63" s="664"/>
      <c r="K63" s="664"/>
      <c r="L63" s="664"/>
      <c r="M63" s="664"/>
      <c r="N63" s="664"/>
      <c r="O63" s="19"/>
    </row>
    <row r="64" spans="1:15" ht="9.9499999999999993" customHeight="1">
      <c r="A64" s="19"/>
      <c r="B64" s="19"/>
      <c r="C64" s="19"/>
      <c r="D64" s="19"/>
      <c r="E64" s="19"/>
      <c r="F64" s="19"/>
      <c r="G64" s="19"/>
      <c r="H64" s="19"/>
      <c r="I64" s="19"/>
      <c r="J64" s="19"/>
      <c r="K64" s="19"/>
      <c r="L64" s="19"/>
      <c r="M64" s="19"/>
      <c r="N64" s="19"/>
      <c r="O64" s="19"/>
    </row>
    <row r="65" spans="1:28" ht="15.95" customHeight="1">
      <c r="A65" s="19"/>
      <c r="B65" s="646" t="s">
        <v>288</v>
      </c>
      <c r="C65" s="646"/>
      <c r="D65" s="646"/>
      <c r="E65" s="646"/>
      <c r="F65" s="646"/>
      <c r="H65" s="646" t="s">
        <v>284</v>
      </c>
      <c r="I65" s="646"/>
      <c r="J65" s="646"/>
      <c r="K65" s="646"/>
      <c r="L65" s="646"/>
      <c r="M65" s="646"/>
      <c r="N65" s="646"/>
      <c r="O65" s="19"/>
    </row>
    <row r="66" spans="1:28" ht="5.0999999999999996" customHeight="1">
      <c r="A66" s="19"/>
      <c r="B66" s="19"/>
      <c r="C66" s="19"/>
      <c r="D66" s="19"/>
      <c r="E66" s="19"/>
      <c r="F66" s="19"/>
      <c r="G66" s="19"/>
      <c r="H66" s="19"/>
      <c r="I66" s="19"/>
      <c r="J66" s="19"/>
      <c r="K66" s="19"/>
      <c r="L66" s="19"/>
      <c r="M66" s="19"/>
      <c r="N66" s="19"/>
      <c r="O66" s="19"/>
    </row>
    <row r="67" spans="1:28" ht="18" customHeight="1">
      <c r="A67" s="22"/>
      <c r="B67" s="81" t="s">
        <v>8</v>
      </c>
      <c r="C67" s="65">
        <v>1991</v>
      </c>
      <c r="D67" s="67">
        <v>2001</v>
      </c>
      <c r="E67" s="68">
        <v>2011</v>
      </c>
      <c r="F67" s="66">
        <v>2012</v>
      </c>
      <c r="G67" s="64"/>
      <c r="H67" s="64"/>
      <c r="I67" s="663"/>
      <c r="J67" s="663"/>
      <c r="K67" s="663"/>
      <c r="L67" s="663"/>
      <c r="M67" s="663"/>
      <c r="N67" s="663"/>
      <c r="O67" s="22"/>
    </row>
    <row r="68" spans="1:28" ht="17.100000000000001" customHeight="1">
      <c r="A68" s="22"/>
      <c r="B68" s="671" t="s">
        <v>151</v>
      </c>
      <c r="C68" s="672"/>
      <c r="D68" s="672"/>
      <c r="E68" s="672"/>
      <c r="F68" s="673"/>
      <c r="G68" s="29"/>
      <c r="H68" s="29"/>
      <c r="I68" s="29"/>
      <c r="J68" s="29"/>
      <c r="K68" s="29"/>
      <c r="L68" s="29"/>
      <c r="M68" s="29"/>
      <c r="N68" s="29"/>
      <c r="O68" s="22"/>
      <c r="Q68" s="23"/>
      <c r="R68" s="23"/>
      <c r="S68" s="23"/>
      <c r="T68" s="23"/>
      <c r="U68" s="23"/>
      <c r="V68" s="23"/>
      <c r="W68" s="23"/>
      <c r="X68" s="23"/>
      <c r="Y68" s="23"/>
      <c r="Z68" s="23"/>
      <c r="AA68" s="23"/>
      <c r="AB68" s="23"/>
    </row>
    <row r="69" spans="1:28" ht="14.1" customHeight="1">
      <c r="A69" s="22"/>
      <c r="B69" s="61" t="s">
        <v>16</v>
      </c>
      <c r="C69" s="74">
        <f>AUX!B45</f>
        <v>73.597977157125527</v>
      </c>
      <c r="D69" s="75">
        <f>AUX!L45</f>
        <v>104.84773387015626</v>
      </c>
      <c r="E69" s="75">
        <f>AUX!V45</f>
        <v>130.48516699754603</v>
      </c>
      <c r="F69" s="80">
        <f>AUX!W45</f>
        <v>133.98202652317022</v>
      </c>
      <c r="G69" s="29"/>
      <c r="H69" s="29"/>
      <c r="I69" s="29"/>
      <c r="J69" s="29"/>
      <c r="K69" s="29"/>
      <c r="L69" s="29"/>
      <c r="M69" s="29"/>
      <c r="N69" s="29"/>
      <c r="O69" s="22"/>
      <c r="Q69" s="23"/>
      <c r="R69" s="23"/>
      <c r="S69" s="23"/>
      <c r="T69" s="23"/>
      <c r="U69" s="23"/>
      <c r="V69" s="23"/>
      <c r="W69" s="23"/>
      <c r="X69" s="23"/>
      <c r="Y69" s="23"/>
      <c r="Z69" s="23"/>
      <c r="AA69" s="23"/>
      <c r="AB69" s="23"/>
    </row>
    <row r="70" spans="1:28" ht="14.1" customHeight="1">
      <c r="A70" s="22"/>
      <c r="B70" s="62">
        <f>AUX!A2</f>
        <v>0</v>
      </c>
      <c r="C70" s="74">
        <f>AUX!B46</f>
        <v>0</v>
      </c>
      <c r="D70" s="75">
        <f>AUX!L46</f>
        <v>0</v>
      </c>
      <c r="E70" s="75">
        <f>AUX!V46</f>
        <v>0</v>
      </c>
      <c r="F70" s="80">
        <f>AUX!W46</f>
        <v>0</v>
      </c>
      <c r="G70" s="30"/>
      <c r="H70" s="30"/>
      <c r="I70" s="30"/>
      <c r="J70" s="30"/>
      <c r="K70" s="30"/>
      <c r="L70" s="30"/>
      <c r="M70" s="30"/>
      <c r="N70" s="30"/>
      <c r="O70" s="22"/>
      <c r="Q70" s="23"/>
      <c r="R70" s="23"/>
      <c r="S70" s="23"/>
      <c r="T70" s="23"/>
      <c r="U70" s="23"/>
      <c r="V70" s="23"/>
      <c r="W70" s="23"/>
      <c r="X70" s="23"/>
      <c r="Y70" s="23"/>
      <c r="Z70" s="23"/>
      <c r="AA70" s="23"/>
      <c r="AB70" s="23"/>
    </row>
    <row r="71" spans="1:28" ht="14.1" customHeight="1">
      <c r="A71" s="22"/>
      <c r="B71" s="595">
        <f>AUX!A3</f>
        <v>0</v>
      </c>
      <c r="C71" s="76">
        <f>AUX!B47</f>
        <v>0</v>
      </c>
      <c r="D71" s="77">
        <f>AUX!L47</f>
        <v>0</v>
      </c>
      <c r="E71" s="77">
        <f>AUX!V47</f>
        <v>0</v>
      </c>
      <c r="F71" s="86">
        <f>AUX!W47</f>
        <v>0</v>
      </c>
      <c r="G71" s="29"/>
      <c r="H71" s="29"/>
      <c r="I71" s="29"/>
      <c r="J71" s="29"/>
      <c r="K71" s="29"/>
      <c r="L71" s="29"/>
      <c r="M71" s="29"/>
      <c r="N71" s="29"/>
      <c r="O71" s="22"/>
      <c r="Q71" s="23"/>
      <c r="R71" s="23"/>
      <c r="S71" s="23"/>
      <c r="T71" s="23"/>
      <c r="U71" s="23"/>
      <c r="V71" s="23"/>
      <c r="W71" s="23"/>
      <c r="X71" s="23"/>
      <c r="Y71" s="23"/>
      <c r="Z71" s="23"/>
      <c r="AA71" s="23"/>
      <c r="AB71" s="23"/>
    </row>
    <row r="72" spans="1:28" ht="17.100000000000001" customHeight="1">
      <c r="A72" s="22"/>
      <c r="B72" s="671" t="s">
        <v>152</v>
      </c>
      <c r="C72" s="672"/>
      <c r="D72" s="672"/>
      <c r="E72" s="672"/>
      <c r="F72" s="673"/>
      <c r="G72" s="29"/>
      <c r="H72" s="29"/>
      <c r="I72" s="29"/>
      <c r="J72" s="29"/>
      <c r="K72" s="29"/>
      <c r="L72" s="29"/>
      <c r="M72" s="29"/>
      <c r="N72" s="29"/>
      <c r="O72" s="22"/>
      <c r="Q72" s="23"/>
      <c r="R72" s="23"/>
      <c r="S72" s="23"/>
      <c r="T72" s="23"/>
      <c r="U72" s="23"/>
      <c r="V72" s="23"/>
      <c r="W72" s="23"/>
      <c r="X72" s="23"/>
      <c r="Y72" s="23"/>
      <c r="Z72" s="23"/>
      <c r="AA72" s="23"/>
      <c r="AB72" s="23"/>
    </row>
    <row r="73" spans="1:28" ht="14.1" customHeight="1">
      <c r="A73" s="22"/>
      <c r="B73" s="61" t="s">
        <v>16</v>
      </c>
      <c r="C73" s="74">
        <f>AUX!B51</f>
        <v>28.536817399626358</v>
      </c>
      <c r="D73" s="75">
        <f>AUX!L51</f>
        <v>23.700558061275899</v>
      </c>
      <c r="E73" s="75">
        <f>AUX!V51</f>
        <v>22.470303037639859</v>
      </c>
      <c r="F73" s="80">
        <f>AUX!W51</f>
        <v>22.356048909791866</v>
      </c>
      <c r="G73" s="29"/>
      <c r="H73" s="29"/>
      <c r="I73" s="29"/>
      <c r="J73" s="29"/>
      <c r="K73" s="29"/>
      <c r="L73" s="29"/>
      <c r="M73" s="29"/>
      <c r="N73" s="29"/>
      <c r="O73" s="22"/>
      <c r="Q73" s="23"/>
      <c r="R73" s="23"/>
      <c r="S73" s="23"/>
      <c r="T73" s="23"/>
      <c r="U73" s="23"/>
      <c r="V73" s="23"/>
      <c r="W73" s="23"/>
      <c r="X73" s="23"/>
      <c r="Y73" s="23"/>
      <c r="Z73" s="23"/>
      <c r="AA73" s="23"/>
      <c r="AB73" s="23"/>
    </row>
    <row r="74" spans="1:28" ht="14.1" customHeight="1">
      <c r="A74" s="22"/>
      <c r="B74" s="62">
        <f>AUX!A2</f>
        <v>0</v>
      </c>
      <c r="C74" s="74">
        <f>AUX!B52</f>
        <v>0</v>
      </c>
      <c r="D74" s="75">
        <f>AUX!L52</f>
        <v>0</v>
      </c>
      <c r="E74" s="75">
        <f>AUX!V52</f>
        <v>0</v>
      </c>
      <c r="F74" s="80">
        <f>AUX!W52</f>
        <v>0</v>
      </c>
      <c r="G74" s="29"/>
      <c r="H74" s="29"/>
      <c r="I74" s="29"/>
      <c r="J74" s="29"/>
      <c r="K74" s="29"/>
      <c r="L74" s="29"/>
      <c r="M74" s="29"/>
      <c r="N74" s="29"/>
      <c r="O74" s="22"/>
      <c r="Q74" s="23"/>
      <c r="R74" s="23"/>
      <c r="S74" s="23"/>
      <c r="T74" s="23"/>
      <c r="U74" s="23"/>
      <c r="V74" s="23"/>
      <c r="W74" s="23"/>
      <c r="X74" s="23"/>
      <c r="Y74" s="23"/>
      <c r="Z74" s="23"/>
      <c r="AA74" s="23"/>
      <c r="AB74" s="23"/>
    </row>
    <row r="75" spans="1:28" ht="14.1" customHeight="1">
      <c r="A75" s="22"/>
      <c r="B75" s="595">
        <f>AUX!A3</f>
        <v>0</v>
      </c>
      <c r="C75" s="76">
        <f>AUX!B53</f>
        <v>0</v>
      </c>
      <c r="D75" s="77">
        <f>AUX!L53</f>
        <v>0</v>
      </c>
      <c r="E75" s="77">
        <f>AUX!V53</f>
        <v>0</v>
      </c>
      <c r="F75" s="86">
        <f>AUX!W53</f>
        <v>0</v>
      </c>
      <c r="G75" s="29"/>
      <c r="H75" s="29"/>
      <c r="I75" s="29"/>
      <c r="J75" s="29"/>
      <c r="K75" s="29"/>
      <c r="L75" s="29"/>
      <c r="M75" s="29"/>
      <c r="N75" s="29"/>
      <c r="O75" s="22"/>
      <c r="Q75" s="23"/>
      <c r="R75" s="23"/>
      <c r="S75" s="23"/>
      <c r="T75" s="23"/>
      <c r="U75" s="23"/>
      <c r="V75" s="23"/>
      <c r="W75" s="23"/>
      <c r="X75" s="23"/>
      <c r="Y75" s="23"/>
      <c r="Z75" s="23"/>
      <c r="AA75" s="23"/>
      <c r="AB75" s="23"/>
    </row>
    <row r="76" spans="1:28" ht="17.100000000000001" customHeight="1">
      <c r="A76" s="22"/>
      <c r="B76" s="671" t="s">
        <v>153</v>
      </c>
      <c r="C76" s="672"/>
      <c r="D76" s="672"/>
      <c r="E76" s="672"/>
      <c r="F76" s="673"/>
      <c r="G76" s="29"/>
      <c r="H76" s="29"/>
      <c r="I76" s="29"/>
      <c r="J76" s="29"/>
      <c r="K76" s="29"/>
      <c r="L76" s="29"/>
      <c r="M76" s="29"/>
      <c r="N76" s="29"/>
      <c r="O76" s="22"/>
      <c r="Q76" s="23"/>
      <c r="R76" s="23"/>
      <c r="S76" s="23"/>
      <c r="T76" s="23"/>
      <c r="U76" s="23"/>
      <c r="V76" s="23"/>
      <c r="W76" s="23"/>
      <c r="X76" s="23"/>
      <c r="Y76" s="23"/>
      <c r="Z76" s="23"/>
      <c r="AA76" s="23"/>
      <c r="AB76" s="23"/>
    </row>
    <row r="77" spans="1:28" ht="14.1" customHeight="1">
      <c r="A77" s="22"/>
      <c r="B77" s="61" t="s">
        <v>16</v>
      </c>
      <c r="C77" s="74">
        <f>AUX!B57</f>
        <v>21.002520351147631</v>
      </c>
      <c r="D77" s="75">
        <f>AUX!L57</f>
        <v>24.849498041828422</v>
      </c>
      <c r="E77" s="75">
        <f>AUX!V57</f>
        <v>29.320412443519029</v>
      </c>
      <c r="F77" s="80">
        <f>AUX!W57</f>
        <v>29.953087379850245</v>
      </c>
      <c r="G77" s="29"/>
      <c r="H77" s="29"/>
      <c r="I77" s="29"/>
      <c r="J77" s="29"/>
      <c r="K77" s="29"/>
      <c r="L77" s="29"/>
      <c r="M77" s="29"/>
      <c r="N77" s="29"/>
      <c r="O77" s="22"/>
      <c r="Q77" s="23"/>
      <c r="R77" s="23"/>
      <c r="S77" s="23"/>
      <c r="T77" s="23"/>
      <c r="U77" s="23"/>
      <c r="V77" s="23"/>
      <c r="W77" s="23"/>
      <c r="X77" s="23"/>
      <c r="Y77" s="23"/>
      <c r="Z77" s="23"/>
      <c r="AA77" s="23"/>
      <c r="AB77" s="23"/>
    </row>
    <row r="78" spans="1:28" ht="14.1" customHeight="1">
      <c r="A78" s="22"/>
      <c r="B78" s="62">
        <f>AUX!A2</f>
        <v>0</v>
      </c>
      <c r="C78" s="74">
        <f>AUX!B58</f>
        <v>0</v>
      </c>
      <c r="D78" s="75">
        <f>AUX!L58</f>
        <v>0</v>
      </c>
      <c r="E78" s="75">
        <f>AUX!V58</f>
        <v>0</v>
      </c>
      <c r="F78" s="80">
        <f>AUX!W58</f>
        <v>0</v>
      </c>
      <c r="G78" s="29"/>
      <c r="H78" s="29"/>
      <c r="I78" s="29"/>
      <c r="J78" s="29"/>
      <c r="K78" s="29"/>
      <c r="L78" s="29"/>
      <c r="M78" s="29"/>
      <c r="N78" s="29"/>
      <c r="O78" s="22"/>
      <c r="Q78" s="23"/>
      <c r="R78" s="23"/>
      <c r="S78" s="23"/>
      <c r="T78" s="23"/>
      <c r="U78" s="23"/>
      <c r="V78" s="23"/>
      <c r="W78" s="23"/>
      <c r="X78" s="23"/>
      <c r="Y78" s="23"/>
      <c r="Z78" s="23"/>
      <c r="AA78" s="23"/>
      <c r="AB78" s="23"/>
    </row>
    <row r="79" spans="1:28" ht="14.1" customHeight="1">
      <c r="A79" s="22"/>
      <c r="B79" s="596">
        <f>AUX!A3</f>
        <v>0</v>
      </c>
      <c r="C79" s="78">
        <f>AUX!B59</f>
        <v>0</v>
      </c>
      <c r="D79" s="79">
        <f>AUX!L59</f>
        <v>0</v>
      </c>
      <c r="E79" s="79">
        <f>AUX!V59</f>
        <v>0</v>
      </c>
      <c r="F79" s="87">
        <f>AUX!W59</f>
        <v>0</v>
      </c>
      <c r="G79" s="29"/>
      <c r="H79" s="29"/>
      <c r="I79" s="29"/>
      <c r="J79" s="29"/>
      <c r="K79" s="29"/>
      <c r="L79" s="29"/>
      <c r="M79" s="29"/>
      <c r="N79" s="29"/>
      <c r="O79" s="22"/>
      <c r="Q79" s="23"/>
      <c r="R79" s="23"/>
      <c r="S79" s="23"/>
      <c r="T79" s="23"/>
      <c r="U79" s="23"/>
      <c r="V79" s="23"/>
      <c r="W79" s="23"/>
      <c r="X79" s="23"/>
      <c r="Y79" s="23"/>
      <c r="Z79" s="23"/>
      <c r="AA79" s="23"/>
      <c r="AB79" s="23"/>
    </row>
    <row r="80" spans="1:28" ht="14.1" customHeight="1">
      <c r="A80" s="19"/>
      <c r="B80" s="46"/>
      <c r="C80" s="651" t="s">
        <v>690</v>
      </c>
      <c r="D80" s="651"/>
      <c r="E80" s="651"/>
      <c r="F80" s="651"/>
      <c r="G80" s="24"/>
      <c r="H80" s="24"/>
      <c r="I80" s="24"/>
      <c r="J80" s="24"/>
      <c r="K80" s="551"/>
      <c r="L80" s="551"/>
      <c r="M80" s="551"/>
      <c r="N80" s="545"/>
      <c r="O80" s="151"/>
    </row>
    <row r="81" spans="1:15" ht="20.100000000000001" customHeight="1">
      <c r="A81" s="19"/>
      <c r="B81" s="27"/>
      <c r="C81" s="27"/>
      <c r="D81" s="27"/>
      <c r="E81" s="27"/>
      <c r="F81" s="28"/>
      <c r="G81" s="28"/>
      <c r="H81" s="28"/>
      <c r="I81" s="28"/>
      <c r="J81" s="28"/>
      <c r="K81" s="655" t="s">
        <v>690</v>
      </c>
      <c r="L81" s="655"/>
      <c r="M81" s="655"/>
      <c r="N81" s="655"/>
      <c r="O81" s="151"/>
    </row>
    <row r="82" spans="1:15" ht="15.95" customHeight="1">
      <c r="A82" s="19"/>
      <c r="B82" s="646" t="s">
        <v>289</v>
      </c>
      <c r="C82" s="646"/>
      <c r="D82" s="646"/>
      <c r="E82" s="646"/>
      <c r="F82" s="646"/>
      <c r="H82" s="646" t="s">
        <v>285</v>
      </c>
      <c r="I82" s="646"/>
      <c r="J82" s="646"/>
      <c r="K82" s="646"/>
      <c r="L82" s="646"/>
      <c r="M82" s="646"/>
      <c r="N82" s="646"/>
      <c r="O82" s="19"/>
    </row>
    <row r="83" spans="1:15" ht="5.0999999999999996" customHeight="1">
      <c r="A83" s="19"/>
      <c r="B83" s="19"/>
      <c r="C83" s="19"/>
      <c r="D83" s="19"/>
      <c r="E83" s="19"/>
      <c r="F83" s="19"/>
      <c r="G83" s="19"/>
      <c r="H83" s="19"/>
      <c r="I83" s="19"/>
      <c r="J83" s="19"/>
      <c r="K83" s="19"/>
      <c r="L83" s="19"/>
      <c r="M83" s="19"/>
      <c r="N83" s="19"/>
      <c r="O83" s="19"/>
    </row>
    <row r="84" spans="1:15" ht="15" customHeight="1">
      <c r="A84" s="19"/>
      <c r="B84" s="27"/>
      <c r="C84" s="27"/>
      <c r="D84" s="27"/>
      <c r="E84" s="27"/>
      <c r="F84" s="28"/>
      <c r="G84" s="28"/>
      <c r="H84" s="28"/>
      <c r="I84" s="28"/>
      <c r="J84" s="28"/>
      <c r="K84" s="28"/>
      <c r="L84" s="28"/>
      <c r="M84" s="28"/>
      <c r="N84" s="28"/>
      <c r="O84" s="19"/>
    </row>
    <row r="85" spans="1:15" ht="15" customHeight="1">
      <c r="A85" s="19"/>
      <c r="B85" s="27"/>
      <c r="C85" s="27"/>
      <c r="D85" s="27"/>
      <c r="E85" s="27"/>
      <c r="F85" s="28"/>
      <c r="G85" s="28"/>
      <c r="H85" s="28"/>
      <c r="I85" s="28"/>
      <c r="J85" s="28"/>
      <c r="K85" s="28"/>
      <c r="L85" s="28"/>
      <c r="M85" s="28"/>
      <c r="N85" s="28"/>
      <c r="O85" s="19"/>
    </row>
    <row r="86" spans="1:15" ht="15" customHeight="1">
      <c r="A86" s="19"/>
      <c r="B86" s="27"/>
      <c r="C86" s="27"/>
      <c r="D86" s="27"/>
      <c r="E86" s="27"/>
      <c r="F86" s="28"/>
      <c r="G86" s="28"/>
      <c r="H86" s="28"/>
      <c r="I86" s="28"/>
      <c r="J86" s="28"/>
      <c r="K86" s="28"/>
      <c r="L86" s="28"/>
      <c r="M86" s="28"/>
      <c r="N86" s="28"/>
      <c r="O86" s="19"/>
    </row>
    <row r="87" spans="1:15" ht="15" customHeight="1">
      <c r="A87" s="19"/>
      <c r="B87" s="27"/>
      <c r="C87" s="27"/>
      <c r="D87" s="27"/>
      <c r="E87" s="27"/>
      <c r="F87" s="28"/>
      <c r="G87" s="28"/>
      <c r="H87" s="28"/>
      <c r="I87" s="28"/>
      <c r="J87" s="28"/>
      <c r="K87" s="28"/>
      <c r="L87" s="28"/>
      <c r="M87" s="28"/>
      <c r="N87" s="28"/>
      <c r="O87" s="19"/>
    </row>
    <row r="88" spans="1:15" ht="15" customHeight="1">
      <c r="A88" s="19"/>
      <c r="B88" s="27"/>
      <c r="C88" s="27"/>
      <c r="D88" s="27"/>
      <c r="E88" s="27"/>
      <c r="F88" s="28"/>
      <c r="G88" s="28"/>
      <c r="H88" s="28"/>
      <c r="I88" s="28"/>
      <c r="J88" s="28"/>
      <c r="K88" s="28"/>
      <c r="L88" s="28"/>
      <c r="M88" s="28"/>
      <c r="N88" s="28"/>
      <c r="O88" s="19"/>
    </row>
    <row r="89" spans="1:15" ht="15" customHeight="1">
      <c r="A89" s="19"/>
      <c r="B89" s="19"/>
      <c r="C89" s="19"/>
      <c r="D89" s="19"/>
      <c r="E89" s="19"/>
      <c r="F89" s="19"/>
      <c r="G89" s="19"/>
      <c r="H89" s="19"/>
      <c r="I89" s="19"/>
      <c r="J89" s="19"/>
      <c r="K89" s="19"/>
      <c r="L89" s="19"/>
      <c r="M89" s="19"/>
      <c r="N89" s="19"/>
      <c r="O89" s="19"/>
    </row>
    <row r="90" spans="1:15" ht="15" customHeight="1">
      <c r="A90" s="19"/>
      <c r="B90" s="19"/>
      <c r="C90" s="19"/>
      <c r="D90" s="19"/>
      <c r="E90" s="19"/>
      <c r="F90" s="19"/>
      <c r="G90" s="19"/>
      <c r="H90" s="19"/>
      <c r="I90" s="19"/>
      <c r="J90" s="19"/>
      <c r="K90" s="19"/>
      <c r="L90" s="19"/>
      <c r="M90" s="19"/>
      <c r="N90" s="19"/>
      <c r="O90" s="19"/>
    </row>
    <row r="91" spans="1:15" ht="15" customHeight="1">
      <c r="A91" s="19"/>
      <c r="B91" s="31"/>
      <c r="C91" s="27"/>
      <c r="D91" s="27"/>
      <c r="E91" s="27"/>
      <c r="F91" s="28"/>
      <c r="G91" s="28"/>
      <c r="H91" s="28"/>
      <c r="I91" s="28"/>
      <c r="J91" s="28"/>
      <c r="K91" s="28"/>
      <c r="L91" s="28"/>
      <c r="M91" s="28"/>
      <c r="N91" s="28"/>
      <c r="O91" s="19"/>
    </row>
    <row r="92" spans="1:15" ht="15" customHeight="1">
      <c r="A92" s="19"/>
      <c r="B92" s="27"/>
      <c r="C92" s="27"/>
      <c r="D92" s="27"/>
      <c r="E92" s="27"/>
      <c r="F92" s="28"/>
      <c r="G92" s="28"/>
      <c r="H92" s="28"/>
      <c r="I92" s="28"/>
      <c r="J92" s="28"/>
      <c r="K92" s="28"/>
      <c r="L92" s="28"/>
      <c r="M92" s="28"/>
      <c r="N92" s="28"/>
      <c r="O92" s="19"/>
    </row>
    <row r="93" spans="1:15" ht="15" customHeight="1">
      <c r="A93" s="19"/>
      <c r="B93" s="27"/>
      <c r="C93" s="27"/>
      <c r="D93" s="27"/>
      <c r="E93" s="27"/>
      <c r="F93" s="28"/>
      <c r="G93" s="28"/>
      <c r="H93" s="28"/>
      <c r="I93" s="28"/>
      <c r="J93" s="28"/>
      <c r="K93" s="28"/>
      <c r="L93" s="28"/>
      <c r="M93" s="28"/>
      <c r="N93" s="28"/>
      <c r="O93" s="19"/>
    </row>
    <row r="94" spans="1:15" ht="15" customHeight="1">
      <c r="A94" s="19"/>
      <c r="B94" s="19"/>
      <c r="C94" s="19"/>
      <c r="D94" s="19"/>
      <c r="E94" s="19"/>
      <c r="F94" s="19"/>
      <c r="G94" s="19"/>
      <c r="H94" s="19"/>
      <c r="I94" s="19"/>
      <c r="J94" s="19"/>
      <c r="K94" s="19"/>
      <c r="L94" s="19"/>
      <c r="M94" s="19"/>
      <c r="N94" s="19"/>
      <c r="O94" s="19"/>
    </row>
    <row r="95" spans="1:15" ht="15" customHeight="1">
      <c r="A95" s="19"/>
      <c r="B95" s="19"/>
      <c r="C95" s="19"/>
      <c r="D95" s="19"/>
      <c r="E95" s="19"/>
      <c r="F95" s="19"/>
      <c r="G95" s="19"/>
      <c r="H95" s="19"/>
      <c r="I95" s="19"/>
      <c r="J95" s="19"/>
      <c r="K95" s="19"/>
      <c r="L95" s="19"/>
      <c r="M95" s="19"/>
      <c r="N95" s="19"/>
      <c r="O95" s="19"/>
    </row>
    <row r="96" spans="1:15" ht="15" customHeight="1">
      <c r="A96" s="19"/>
      <c r="B96" s="31"/>
      <c r="C96" s="27"/>
      <c r="D96" s="27"/>
      <c r="E96" s="27"/>
      <c r="F96" s="28"/>
      <c r="G96" s="28"/>
      <c r="H96" s="28"/>
      <c r="I96" s="28"/>
      <c r="J96" s="28"/>
      <c r="K96" s="28"/>
      <c r="L96" s="28"/>
      <c r="M96" s="28"/>
      <c r="N96" s="28"/>
      <c r="O96" s="19"/>
    </row>
    <row r="97" spans="1:15" ht="15" customHeight="1">
      <c r="A97" s="19"/>
      <c r="B97" s="27"/>
      <c r="C97" s="27"/>
      <c r="D97" s="27"/>
      <c r="E97" s="27"/>
      <c r="F97" s="28"/>
      <c r="G97" s="28"/>
      <c r="H97" s="28"/>
      <c r="I97" s="28"/>
      <c r="J97" s="28"/>
      <c r="K97" s="28"/>
      <c r="L97" s="28"/>
      <c r="M97" s="28"/>
      <c r="N97" s="28"/>
      <c r="O97" s="19"/>
    </row>
    <row r="98" spans="1:15" ht="15" customHeight="1">
      <c r="A98" s="19"/>
      <c r="B98" s="27"/>
      <c r="C98" s="643" t="s">
        <v>690</v>
      </c>
      <c r="D98" s="643"/>
      <c r="E98" s="643"/>
      <c r="F98" s="643"/>
      <c r="G98" s="28"/>
      <c r="H98" s="28"/>
      <c r="I98" s="28"/>
      <c r="J98" s="28"/>
      <c r="K98" s="643" t="s">
        <v>690</v>
      </c>
      <c r="L98" s="643"/>
      <c r="M98" s="643"/>
      <c r="N98" s="643"/>
      <c r="O98" s="19"/>
    </row>
    <row r="99" spans="1:15" ht="12.75" customHeight="1">
      <c r="A99" s="19"/>
      <c r="B99" s="120" t="s">
        <v>28</v>
      </c>
      <c r="C99" s="24"/>
      <c r="D99" s="24"/>
      <c r="E99" s="25"/>
      <c r="F99" s="24"/>
      <c r="G99" s="24"/>
      <c r="H99" s="24"/>
      <c r="I99" s="24"/>
      <c r="J99" s="24"/>
      <c r="K99" s="24"/>
      <c r="L99" s="24"/>
      <c r="M99" s="24"/>
      <c r="O99" s="19"/>
    </row>
    <row r="100" spans="1:15" ht="20.100000000000001" customHeight="1">
      <c r="A100" s="19"/>
      <c r="B100" s="19"/>
      <c r="C100" s="19"/>
      <c r="D100" s="19"/>
      <c r="E100" s="19"/>
      <c r="F100" s="19"/>
      <c r="G100" s="19"/>
      <c r="H100" s="19"/>
      <c r="I100" s="19"/>
      <c r="J100" s="19"/>
      <c r="K100" s="19"/>
      <c r="L100" s="19"/>
      <c r="M100" s="19"/>
      <c r="N100" s="19"/>
      <c r="O100" s="19"/>
    </row>
    <row r="101" spans="1:15" ht="20.100000000000001" customHeight="1" thickBot="1">
      <c r="A101" s="19"/>
      <c r="B101" s="650" t="s">
        <v>37</v>
      </c>
      <c r="C101" s="650"/>
      <c r="D101" s="650"/>
      <c r="E101" s="650"/>
      <c r="F101" s="650"/>
      <c r="G101" s="650"/>
      <c r="H101" s="650"/>
      <c r="I101" s="650"/>
      <c r="J101" s="650"/>
      <c r="K101" s="650"/>
      <c r="L101" s="650"/>
      <c r="M101" s="650"/>
      <c r="N101" s="650"/>
      <c r="O101" s="19"/>
    </row>
    <row r="102" spans="1:15" ht="9.9499999999999993" customHeight="1">
      <c r="A102" s="19"/>
      <c r="B102" s="19"/>
      <c r="C102" s="19"/>
      <c r="D102" s="19"/>
      <c r="E102" s="19"/>
      <c r="F102" s="19"/>
      <c r="G102" s="19"/>
      <c r="H102" s="19"/>
      <c r="I102" s="19"/>
      <c r="J102" s="19"/>
      <c r="K102" s="19"/>
      <c r="L102" s="19"/>
      <c r="M102" s="19"/>
      <c r="N102" s="19"/>
      <c r="O102" s="19"/>
    </row>
    <row r="103" spans="1:15" ht="15.95" customHeight="1">
      <c r="A103" s="19"/>
      <c r="B103" s="646" t="s">
        <v>294</v>
      </c>
      <c r="C103" s="646"/>
      <c r="D103" s="646"/>
      <c r="E103" s="646"/>
      <c r="F103" s="646"/>
      <c r="G103" s="63"/>
      <c r="H103" s="646" t="s">
        <v>290</v>
      </c>
      <c r="I103" s="646"/>
      <c r="J103" s="646"/>
      <c r="K103" s="646"/>
      <c r="L103" s="646"/>
      <c r="M103" s="646"/>
      <c r="N103" s="646"/>
      <c r="O103" s="19"/>
    </row>
    <row r="104" spans="1:15" ht="5.0999999999999996" customHeight="1">
      <c r="A104" s="19"/>
      <c r="B104" s="27"/>
      <c r="C104" s="27"/>
      <c r="D104" s="27"/>
      <c r="E104" s="27"/>
      <c r="F104" s="27"/>
      <c r="G104" s="27"/>
      <c r="H104" s="27"/>
      <c r="I104" s="27"/>
      <c r="J104" s="27"/>
      <c r="K104" s="27"/>
      <c r="L104" s="27"/>
      <c r="M104" s="27"/>
      <c r="N104" s="27"/>
      <c r="O104" s="19"/>
    </row>
    <row r="105" spans="1:15" ht="21.95" customHeight="1">
      <c r="A105" s="19"/>
      <c r="B105" s="47" t="s">
        <v>8</v>
      </c>
      <c r="C105" s="48">
        <v>1997</v>
      </c>
      <c r="D105" s="48">
        <v>2002</v>
      </c>
      <c r="E105" s="48">
        <v>2007</v>
      </c>
      <c r="F105" s="48">
        <v>2012</v>
      </c>
      <c r="G105" s="91"/>
      <c r="H105" s="91"/>
      <c r="I105" s="91"/>
      <c r="J105" s="91"/>
      <c r="K105" s="91"/>
      <c r="L105" s="91"/>
      <c r="M105" s="91"/>
      <c r="N105" s="91"/>
      <c r="O105" s="19"/>
    </row>
    <row r="106" spans="1:15" ht="18" customHeight="1">
      <c r="A106" s="19"/>
      <c r="B106" s="96" t="s">
        <v>16</v>
      </c>
      <c r="C106" s="589">
        <f>AUX!C63</f>
        <v>106299</v>
      </c>
      <c r="D106" s="589">
        <f>AUX!H63</f>
        <v>108192</v>
      </c>
      <c r="E106" s="589">
        <f>AUX!M63</f>
        <v>96925</v>
      </c>
      <c r="F106" s="589">
        <f>AUX!R63</f>
        <v>85306</v>
      </c>
      <c r="G106" s="92"/>
      <c r="H106" s="92"/>
      <c r="I106" s="92"/>
      <c r="J106" s="92"/>
      <c r="K106" s="92"/>
      <c r="L106" s="92"/>
      <c r="M106" s="92"/>
      <c r="N106" s="92"/>
      <c r="O106" s="19"/>
    </row>
    <row r="107" spans="1:15" ht="18" customHeight="1">
      <c r="A107" s="19"/>
      <c r="B107" s="97">
        <f>AUX!A2</f>
        <v>0</v>
      </c>
      <c r="C107" s="592">
        <f>AUX!C64</f>
        <v>0</v>
      </c>
      <c r="D107" s="592">
        <f>AUX!H64</f>
        <v>0</v>
      </c>
      <c r="E107" s="592">
        <f>AUX!M64</f>
        <v>0</v>
      </c>
      <c r="F107" s="592">
        <f>AUX!R64</f>
        <v>0</v>
      </c>
      <c r="G107" s="92"/>
      <c r="H107" s="92"/>
      <c r="I107" s="92"/>
      <c r="J107" s="92"/>
      <c r="K107" s="92"/>
      <c r="L107" s="92"/>
      <c r="M107" s="92"/>
      <c r="N107" s="92"/>
      <c r="O107" s="19"/>
    </row>
    <row r="108" spans="1:15" ht="18" customHeight="1">
      <c r="A108" s="19"/>
      <c r="B108" s="596">
        <f>AUX!A3</f>
        <v>0</v>
      </c>
      <c r="C108" s="593">
        <f>AUX!C65</f>
        <v>0</v>
      </c>
      <c r="D108" s="593">
        <f>AUX!H65</f>
        <v>0</v>
      </c>
      <c r="E108" s="593">
        <f>AUX!M65</f>
        <v>0</v>
      </c>
      <c r="F108" s="593">
        <f>AUX!R65</f>
        <v>0</v>
      </c>
      <c r="G108" s="93"/>
      <c r="H108" s="93"/>
      <c r="I108" s="93"/>
      <c r="J108" s="93"/>
      <c r="K108" s="93"/>
      <c r="L108" s="93"/>
      <c r="M108" s="93"/>
      <c r="N108" s="93"/>
      <c r="O108" s="19"/>
    </row>
    <row r="109" spans="1:15" ht="20.100000000000001" customHeight="1">
      <c r="A109" s="19"/>
      <c r="B109" s="31"/>
      <c r="C109" s="644" t="s">
        <v>690</v>
      </c>
      <c r="D109" s="644"/>
      <c r="E109" s="644"/>
      <c r="F109" s="644"/>
      <c r="G109" s="28"/>
      <c r="H109" s="28"/>
      <c r="I109" s="28"/>
      <c r="J109" s="28"/>
      <c r="K109" s="28"/>
      <c r="L109" s="28"/>
      <c r="M109" s="28"/>
      <c r="N109" s="28"/>
      <c r="O109" s="19"/>
    </row>
    <row r="110" spans="1:15" ht="15.95" customHeight="1">
      <c r="A110" s="19"/>
      <c r="B110" s="646" t="s">
        <v>295</v>
      </c>
      <c r="C110" s="646"/>
      <c r="D110" s="646"/>
      <c r="E110" s="646"/>
      <c r="F110" s="646"/>
      <c r="G110" s="646"/>
      <c r="H110" s="646"/>
      <c r="I110" s="646"/>
      <c r="J110" s="646"/>
      <c r="K110" s="646"/>
      <c r="L110" s="646"/>
      <c r="M110" s="646"/>
      <c r="N110" s="646"/>
      <c r="O110" s="19"/>
    </row>
    <row r="111" spans="1:15" ht="5.0999999999999996" customHeight="1">
      <c r="A111" s="19"/>
      <c r="B111" s="27"/>
      <c r="C111" s="27"/>
      <c r="D111" s="27"/>
      <c r="E111" s="27"/>
      <c r="F111" s="27"/>
      <c r="G111" s="27"/>
      <c r="H111" s="27"/>
      <c r="I111" s="27"/>
      <c r="J111" s="27"/>
      <c r="K111" s="27"/>
      <c r="L111" s="27"/>
      <c r="M111" s="27"/>
      <c r="N111" s="27"/>
      <c r="O111" s="19"/>
    </row>
    <row r="112" spans="1:15" ht="21.95" customHeight="1">
      <c r="A112" s="19"/>
      <c r="B112" s="47" t="s">
        <v>8</v>
      </c>
      <c r="C112" s="48">
        <v>1997</v>
      </c>
      <c r="D112" s="48">
        <v>2002</v>
      </c>
      <c r="E112" s="48">
        <v>2007</v>
      </c>
      <c r="F112" s="48">
        <v>2012</v>
      </c>
      <c r="G112" s="91"/>
      <c r="H112" s="91"/>
      <c r="I112" s="91"/>
      <c r="J112" s="91"/>
      <c r="K112" s="91"/>
      <c r="L112" s="91"/>
      <c r="M112" s="91"/>
      <c r="N112" s="91"/>
      <c r="O112" s="19"/>
    </row>
    <row r="113" spans="1:15" ht="18" customHeight="1">
      <c r="A113" s="19"/>
      <c r="B113" s="96" t="s">
        <v>16</v>
      </c>
      <c r="C113" s="51">
        <f>AUX!C69</f>
        <v>11.042744601820905</v>
      </c>
      <c r="D113" s="51">
        <f>AUX!H69</f>
        <v>10.898670928677733</v>
      </c>
      <c r="E113" s="51">
        <f>AUX!M69</f>
        <v>9.6590035416180218</v>
      </c>
      <c r="F113" s="51">
        <f>AUX!R69</f>
        <v>8.527352357854511</v>
      </c>
      <c r="G113" s="94"/>
      <c r="H113" s="94"/>
      <c r="I113" s="94"/>
      <c r="J113" s="94"/>
      <c r="K113" s="94"/>
      <c r="L113" s="94"/>
      <c r="M113" s="94"/>
      <c r="N113" s="94"/>
      <c r="O113" s="19"/>
    </row>
    <row r="114" spans="1:15" ht="18" customHeight="1">
      <c r="A114" s="19"/>
      <c r="B114" s="97">
        <f>AUX!A2</f>
        <v>0</v>
      </c>
      <c r="C114" s="98">
        <f>AUX!C70</f>
        <v>0</v>
      </c>
      <c r="D114" s="98">
        <f>AUX!H70</f>
        <v>0</v>
      </c>
      <c r="E114" s="98">
        <f>AUX!M70</f>
        <v>0</v>
      </c>
      <c r="F114" s="98">
        <f>AUX!R70</f>
        <v>0</v>
      </c>
      <c r="G114" s="94"/>
      <c r="H114" s="94"/>
      <c r="I114" s="94"/>
      <c r="J114" s="94"/>
      <c r="K114" s="94"/>
      <c r="L114" s="94"/>
      <c r="M114" s="94"/>
      <c r="N114" s="94"/>
      <c r="O114" s="19"/>
    </row>
    <row r="115" spans="1:15" ht="18" customHeight="1">
      <c r="A115" s="19"/>
      <c r="B115" s="596">
        <f>AUX!A3</f>
        <v>0</v>
      </c>
      <c r="C115" s="99">
        <f>AUX!C71</f>
        <v>0</v>
      </c>
      <c r="D115" s="99">
        <f>AUX!H71</f>
        <v>0</v>
      </c>
      <c r="E115" s="99">
        <f>AUX!M71</f>
        <v>0</v>
      </c>
      <c r="F115" s="99">
        <f>AUX!R71</f>
        <v>0</v>
      </c>
      <c r="G115" s="95"/>
      <c r="H115" s="95"/>
      <c r="I115" s="95"/>
      <c r="J115" s="95"/>
      <c r="K115" s="95"/>
      <c r="L115" s="95"/>
      <c r="M115" s="95"/>
      <c r="N115" s="95"/>
      <c r="O115" s="19"/>
    </row>
    <row r="116" spans="1:15" ht="15" customHeight="1">
      <c r="A116" s="19"/>
      <c r="B116" s="31"/>
      <c r="C116" s="651" t="s">
        <v>690</v>
      </c>
      <c r="D116" s="651"/>
      <c r="E116" s="651"/>
      <c r="F116" s="651"/>
      <c r="G116" s="28"/>
      <c r="H116" s="28"/>
      <c r="I116" s="28"/>
      <c r="J116" s="28"/>
      <c r="K116" s="28"/>
      <c r="L116" s="28"/>
      <c r="M116" s="28"/>
      <c r="N116" s="28"/>
      <c r="O116" s="19"/>
    </row>
    <row r="117" spans="1:15" ht="20.100000000000001" customHeight="1">
      <c r="A117" s="19"/>
      <c r="B117" s="31"/>
      <c r="C117" s="27"/>
      <c r="D117" s="27"/>
      <c r="E117" s="27"/>
      <c r="F117" s="28"/>
      <c r="G117" s="28"/>
      <c r="H117" s="28"/>
      <c r="I117" s="28"/>
      <c r="J117" s="28"/>
      <c r="K117" s="643" t="s">
        <v>690</v>
      </c>
      <c r="L117" s="643"/>
      <c r="M117" s="643"/>
      <c r="N117" s="643"/>
      <c r="O117" s="19"/>
    </row>
    <row r="118" spans="1:15" ht="15.95" customHeight="1">
      <c r="A118" s="19"/>
      <c r="B118" s="646" t="s">
        <v>296</v>
      </c>
      <c r="C118" s="646"/>
      <c r="D118" s="646"/>
      <c r="E118" s="646"/>
      <c r="F118" s="646"/>
      <c r="G118" s="63"/>
      <c r="H118" s="646" t="s">
        <v>291</v>
      </c>
      <c r="I118" s="646"/>
      <c r="J118" s="646"/>
      <c r="K118" s="646"/>
      <c r="L118" s="646"/>
      <c r="M118" s="646"/>
      <c r="N118" s="646"/>
      <c r="O118" s="19"/>
    </row>
    <row r="119" spans="1:15" ht="5.0999999999999996" customHeight="1">
      <c r="A119" s="19"/>
      <c r="B119" s="27"/>
      <c r="C119" s="27"/>
      <c r="D119" s="27"/>
      <c r="E119" s="27"/>
      <c r="F119" s="27"/>
      <c r="G119" s="27"/>
      <c r="H119" s="27"/>
      <c r="I119" s="27"/>
      <c r="J119" s="27"/>
      <c r="K119" s="27"/>
      <c r="L119" s="27"/>
      <c r="M119" s="27"/>
      <c r="N119" s="27"/>
      <c r="O119" s="19"/>
    </row>
    <row r="120" spans="1:15" ht="21.95" customHeight="1">
      <c r="A120" s="19"/>
      <c r="B120" s="47" t="s">
        <v>8</v>
      </c>
      <c r="C120" s="48">
        <v>1997</v>
      </c>
      <c r="D120" s="48">
        <v>2002</v>
      </c>
      <c r="E120" s="48">
        <v>2007</v>
      </c>
      <c r="F120" s="48">
        <v>2012</v>
      </c>
      <c r="G120" s="91"/>
      <c r="H120" s="91"/>
      <c r="I120" s="91"/>
      <c r="J120" s="91"/>
      <c r="K120" s="91"/>
      <c r="L120" s="91"/>
      <c r="M120" s="91"/>
      <c r="N120" s="91"/>
      <c r="O120" s="19"/>
    </row>
    <row r="121" spans="1:15" ht="18" customHeight="1">
      <c r="A121" s="19"/>
      <c r="B121" s="96" t="s">
        <v>16</v>
      </c>
      <c r="C121" s="104">
        <f>AUX!C75</f>
        <v>1.4611013039185572</v>
      </c>
      <c r="D121" s="104">
        <f>AUX!H75</f>
        <v>1.4624444371409304</v>
      </c>
      <c r="E121" s="104">
        <f>AUX!M75</f>
        <v>1.3502316877831153</v>
      </c>
      <c r="F121" s="104">
        <f>AUX!R75</f>
        <v>1.2877062357186866</v>
      </c>
      <c r="G121" s="92"/>
      <c r="H121" s="92"/>
      <c r="I121" s="92"/>
      <c r="J121" s="92"/>
      <c r="K121" s="92"/>
      <c r="L121" s="92"/>
      <c r="M121" s="92"/>
      <c r="N121" s="92"/>
      <c r="O121" s="19"/>
    </row>
    <row r="122" spans="1:15" ht="18" customHeight="1">
      <c r="A122" s="19"/>
      <c r="B122" s="97">
        <f>AUX!A2</f>
        <v>0</v>
      </c>
      <c r="C122" s="105">
        <f>AUX!C76</f>
        <v>0</v>
      </c>
      <c r="D122" s="105">
        <f>AUX!H76</f>
        <v>0</v>
      </c>
      <c r="E122" s="105">
        <f>AUX!M76</f>
        <v>0</v>
      </c>
      <c r="F122" s="105">
        <f>AUX!R76</f>
        <v>0</v>
      </c>
      <c r="G122" s="92"/>
      <c r="H122" s="92"/>
      <c r="I122" s="92"/>
      <c r="J122" s="92"/>
      <c r="K122" s="92"/>
      <c r="L122" s="92"/>
      <c r="M122" s="92"/>
      <c r="N122" s="92"/>
      <c r="O122" s="19"/>
    </row>
    <row r="123" spans="1:15" ht="18" customHeight="1">
      <c r="A123" s="19"/>
      <c r="B123" s="596">
        <f>AUX!A3</f>
        <v>0</v>
      </c>
      <c r="C123" s="106">
        <f>AUX!C77</f>
        <v>0</v>
      </c>
      <c r="D123" s="106">
        <f>AUX!H77</f>
        <v>0</v>
      </c>
      <c r="E123" s="106">
        <f>AUX!M77</f>
        <v>0</v>
      </c>
      <c r="F123" s="106">
        <f>AUX!R77</f>
        <v>0</v>
      </c>
      <c r="G123" s="93"/>
      <c r="H123" s="93"/>
      <c r="I123" s="93"/>
      <c r="J123" s="93"/>
      <c r="K123" s="93"/>
      <c r="L123" s="93"/>
      <c r="M123" s="93"/>
      <c r="N123" s="93"/>
      <c r="O123" s="19"/>
    </row>
    <row r="124" spans="1:15" ht="15" customHeight="1">
      <c r="A124" s="19"/>
      <c r="B124" s="31"/>
      <c r="C124" s="651" t="s">
        <v>690</v>
      </c>
      <c r="D124" s="651"/>
      <c r="E124" s="651"/>
      <c r="F124" s="651"/>
      <c r="G124" s="28"/>
      <c r="H124" s="28"/>
      <c r="I124" s="28"/>
      <c r="J124" s="28"/>
      <c r="K124" s="28"/>
      <c r="L124" s="28"/>
      <c r="M124" s="28"/>
      <c r="N124" s="28"/>
      <c r="O124" s="19"/>
    </row>
    <row r="125" spans="1:15" ht="9.9499999999999993" customHeight="1">
      <c r="A125" s="19"/>
      <c r="B125" s="646"/>
      <c r="C125" s="646"/>
      <c r="D125" s="646"/>
      <c r="E125" s="646"/>
      <c r="F125" s="646"/>
      <c r="G125" s="646"/>
      <c r="H125" s="646"/>
      <c r="I125" s="646"/>
      <c r="J125" s="646"/>
      <c r="K125" s="646"/>
      <c r="L125" s="646"/>
      <c r="M125" s="646"/>
      <c r="N125" s="646"/>
      <c r="O125" s="19"/>
    </row>
    <row r="126" spans="1:15" ht="20.100000000000001" customHeight="1">
      <c r="A126" s="19"/>
      <c r="B126" s="647" t="s">
        <v>293</v>
      </c>
      <c r="C126" s="647"/>
      <c r="D126" s="647"/>
      <c r="E126" s="647"/>
      <c r="F126" s="647"/>
      <c r="G126" s="27"/>
      <c r="H126" s="27"/>
      <c r="I126" s="27"/>
      <c r="J126" s="27"/>
      <c r="K126" s="27"/>
      <c r="L126" s="27"/>
      <c r="M126" s="27"/>
      <c r="N126" s="27"/>
      <c r="O126" s="19"/>
    </row>
    <row r="127" spans="1:15" ht="20.100000000000001" customHeight="1">
      <c r="A127" s="19"/>
      <c r="B127" s="647"/>
      <c r="C127" s="647"/>
      <c r="D127" s="647"/>
      <c r="E127" s="647"/>
      <c r="F127" s="647"/>
      <c r="G127" s="91"/>
      <c r="H127" s="91"/>
      <c r="I127" s="91"/>
      <c r="J127" s="91"/>
      <c r="K127" s="91"/>
      <c r="L127" s="91"/>
      <c r="M127" s="91"/>
      <c r="N127" s="91"/>
      <c r="O127" s="19"/>
    </row>
    <row r="128" spans="1:15" ht="31.5" customHeight="1">
      <c r="A128" s="19"/>
      <c r="B128" s="647"/>
      <c r="C128" s="647"/>
      <c r="D128" s="647"/>
      <c r="E128" s="647"/>
      <c r="F128" s="647"/>
      <c r="G128" s="94"/>
      <c r="H128" s="94"/>
      <c r="I128" s="94"/>
      <c r="J128" s="94"/>
      <c r="K128" s="94"/>
      <c r="L128" s="94"/>
      <c r="M128" s="94"/>
      <c r="N128" s="94"/>
      <c r="O128" s="19"/>
    </row>
    <row r="129" spans="1:15" ht="15" customHeight="1">
      <c r="A129" s="19"/>
      <c r="B129" s="100"/>
      <c r="C129" s="101"/>
      <c r="D129" s="101"/>
      <c r="E129" s="101"/>
      <c r="F129" s="101"/>
      <c r="G129" s="94"/>
      <c r="H129" s="94"/>
      <c r="I129" s="94"/>
      <c r="J129" s="94"/>
      <c r="K129" s="94"/>
      <c r="L129" s="94"/>
      <c r="M129" s="94"/>
      <c r="N129" s="94"/>
      <c r="O129" s="19"/>
    </row>
    <row r="130" spans="1:15" ht="12.75" customHeight="1">
      <c r="A130" s="19"/>
      <c r="B130" s="120" t="s">
        <v>28</v>
      </c>
      <c r="C130" s="24"/>
      <c r="D130" s="24"/>
      <c r="E130" s="25"/>
      <c r="F130" s="24"/>
      <c r="G130" s="24"/>
      <c r="H130" s="24"/>
      <c r="I130" s="24"/>
      <c r="J130" s="24"/>
      <c r="K130" s="24"/>
      <c r="L130" s="24"/>
      <c r="M130" s="24"/>
      <c r="O130" s="19"/>
    </row>
    <row r="131" spans="1:15" ht="20.100000000000001" customHeight="1">
      <c r="A131" s="19"/>
      <c r="B131" s="19"/>
      <c r="C131" s="19"/>
      <c r="D131" s="19"/>
      <c r="E131" s="19"/>
      <c r="F131" s="19"/>
      <c r="G131" s="19"/>
      <c r="H131" s="19"/>
      <c r="I131" s="19"/>
      <c r="J131" s="19"/>
      <c r="K131" s="643" t="s">
        <v>690</v>
      </c>
      <c r="L131" s="643"/>
      <c r="M131" s="643"/>
      <c r="N131" s="643"/>
      <c r="O131" s="19"/>
    </row>
    <row r="132" spans="1:15" ht="20.100000000000001" customHeight="1" thickBot="1">
      <c r="A132" s="19"/>
      <c r="B132" s="650" t="s">
        <v>49</v>
      </c>
      <c r="C132" s="650"/>
      <c r="D132" s="650"/>
      <c r="E132" s="650"/>
      <c r="F132" s="650"/>
      <c r="G132" s="650"/>
      <c r="H132" s="650"/>
      <c r="I132" s="650"/>
      <c r="J132" s="650"/>
      <c r="K132" s="650"/>
      <c r="L132" s="650"/>
      <c r="M132" s="650"/>
      <c r="N132" s="650"/>
      <c r="O132" s="19"/>
    </row>
    <row r="133" spans="1:15" ht="9.9499999999999993" customHeight="1">
      <c r="A133" s="19"/>
      <c r="B133" s="19"/>
      <c r="C133" s="19"/>
      <c r="D133" s="19"/>
      <c r="E133" s="19"/>
      <c r="F133" s="19"/>
      <c r="G133" s="19"/>
      <c r="H133" s="19"/>
      <c r="I133" s="19"/>
      <c r="J133" s="19"/>
      <c r="K133" s="19"/>
      <c r="L133" s="19"/>
      <c r="M133" s="19"/>
      <c r="N133" s="19"/>
      <c r="O133" s="19"/>
    </row>
    <row r="134" spans="1:15" ht="15.95" customHeight="1">
      <c r="A134" s="19"/>
      <c r="B134" s="646" t="s">
        <v>298</v>
      </c>
      <c r="C134" s="646"/>
      <c r="D134" s="646"/>
      <c r="E134" s="646"/>
      <c r="F134" s="646"/>
      <c r="G134" s="646"/>
      <c r="H134" s="646"/>
      <c r="I134" s="646"/>
      <c r="J134" s="646"/>
      <c r="K134" s="646"/>
      <c r="L134" s="646"/>
      <c r="M134" s="646"/>
      <c r="N134" s="646"/>
      <c r="O134" s="19"/>
    </row>
    <row r="135" spans="1:15" ht="5.0999999999999996" customHeight="1">
      <c r="A135" s="19"/>
      <c r="B135" s="27"/>
      <c r="C135" s="27"/>
      <c r="D135" s="27"/>
      <c r="E135" s="27"/>
      <c r="F135" s="27"/>
      <c r="G135" s="27"/>
      <c r="H135" s="27"/>
      <c r="I135" s="27"/>
      <c r="J135" s="27"/>
      <c r="K135" s="27"/>
      <c r="L135" s="27"/>
      <c r="M135" s="27"/>
      <c r="N135" s="27"/>
      <c r="O135" s="19"/>
    </row>
    <row r="136" spans="1:15" ht="15" customHeight="1">
      <c r="A136" s="19"/>
      <c r="B136" s="697" t="s">
        <v>50</v>
      </c>
      <c r="C136" s="694" t="s">
        <v>16</v>
      </c>
      <c r="D136" s="695"/>
      <c r="E136" s="696"/>
      <c r="F136" s="694">
        <f>AUX!A2</f>
        <v>0</v>
      </c>
      <c r="G136" s="695"/>
      <c r="H136" s="696"/>
      <c r="I136" s="694">
        <f>AUX!A3</f>
        <v>0</v>
      </c>
      <c r="J136" s="695"/>
      <c r="K136" s="696"/>
      <c r="L136" s="548"/>
      <c r="M136" s="549"/>
      <c r="N136" s="549"/>
      <c r="O136" s="19"/>
    </row>
    <row r="137" spans="1:15" ht="15" customHeight="1">
      <c r="A137" s="19"/>
      <c r="B137" s="698"/>
      <c r="C137" s="48" t="s">
        <v>13</v>
      </c>
      <c r="D137" s="48" t="s">
        <v>14</v>
      </c>
      <c r="E137" s="48" t="s">
        <v>15</v>
      </c>
      <c r="F137" s="48" t="s">
        <v>13</v>
      </c>
      <c r="G137" s="48" t="s">
        <v>14</v>
      </c>
      <c r="H137" s="48" t="s">
        <v>15</v>
      </c>
      <c r="I137" s="48" t="s">
        <v>13</v>
      </c>
      <c r="J137" s="49" t="s">
        <v>14</v>
      </c>
      <c r="K137" s="49" t="s">
        <v>15</v>
      </c>
      <c r="L137" s="548"/>
      <c r="M137" s="549"/>
      <c r="N137" s="549"/>
      <c r="O137" s="19"/>
    </row>
    <row r="138" spans="1:15" ht="24.95" customHeight="1">
      <c r="A138" s="19"/>
      <c r="B138" s="50" t="s">
        <v>130</v>
      </c>
      <c r="C138" s="51">
        <f>AUX!B81</f>
        <v>75.842931027107568</v>
      </c>
      <c r="D138" s="52">
        <f>AUX!B85</f>
        <v>72.236034473125429</v>
      </c>
      <c r="E138" s="53">
        <f>AUX!B92</f>
        <v>79.443923615595722</v>
      </c>
      <c r="F138" s="51">
        <f>AUX!B82</f>
        <v>0</v>
      </c>
      <c r="G138" s="52">
        <f>AUX!B86</f>
        <v>0</v>
      </c>
      <c r="H138" s="53">
        <f>AUX!B93</f>
        <v>0</v>
      </c>
      <c r="I138" s="51">
        <f>AUX!B83</f>
        <v>0</v>
      </c>
      <c r="J138" s="52">
        <f>AUX!B87</f>
        <v>0</v>
      </c>
      <c r="K138" s="53">
        <f>AUX!B94</f>
        <v>0</v>
      </c>
      <c r="L138" s="653" t="s">
        <v>693</v>
      </c>
      <c r="M138" s="654"/>
      <c r="N138" s="654"/>
      <c r="O138" s="19"/>
    </row>
    <row r="139" spans="1:15" ht="5.0999999999999996" customHeight="1">
      <c r="A139" s="19"/>
      <c r="B139" s="54"/>
      <c r="C139" s="55"/>
      <c r="D139" s="55"/>
      <c r="E139" s="55"/>
      <c r="F139" s="55"/>
      <c r="G139" s="55"/>
      <c r="H139" s="55"/>
      <c r="I139" s="55"/>
      <c r="J139" s="55"/>
      <c r="K139" s="56"/>
      <c r="L139" s="653"/>
      <c r="M139" s="654"/>
      <c r="N139" s="654"/>
      <c r="O139" s="19"/>
    </row>
    <row r="140" spans="1:15" ht="24.95" customHeight="1">
      <c r="A140" s="19"/>
      <c r="B140" s="57" t="s">
        <v>299</v>
      </c>
      <c r="C140" s="58">
        <f>AUX!P81</f>
        <v>80.571829775787393</v>
      </c>
      <c r="D140" s="59">
        <f>AUX!P85</f>
        <v>77.325289100626719</v>
      </c>
      <c r="E140" s="60">
        <f>AUX!P92</f>
        <v>83.655929725352806</v>
      </c>
      <c r="F140" s="58">
        <f>AUX!P82</f>
        <v>0</v>
      </c>
      <c r="G140" s="59">
        <f>AUX!P86</f>
        <v>0</v>
      </c>
      <c r="H140" s="60">
        <f>AUX!P93</f>
        <v>0</v>
      </c>
      <c r="I140" s="58">
        <f>AUX!P83</f>
        <v>0</v>
      </c>
      <c r="J140" s="59">
        <f>AUX!P87</f>
        <v>0</v>
      </c>
      <c r="K140" s="60">
        <f>AUX!P94</f>
        <v>0</v>
      </c>
      <c r="L140" s="653"/>
      <c r="M140" s="654"/>
      <c r="N140" s="654"/>
      <c r="O140" s="19"/>
    </row>
    <row r="141" spans="1:15" ht="15" customHeight="1">
      <c r="A141" s="19"/>
      <c r="B141" s="649" t="s">
        <v>51</v>
      </c>
      <c r="C141" s="649"/>
      <c r="D141" s="649"/>
      <c r="E141" s="649"/>
      <c r="F141" s="19"/>
      <c r="G141" s="19"/>
      <c r="H141" s="19"/>
      <c r="I141" s="19"/>
      <c r="J141" s="19"/>
      <c r="K141" s="19"/>
      <c r="L141" s="19"/>
      <c r="M141" s="19"/>
      <c r="N141" s="19"/>
      <c r="O141" s="19"/>
    </row>
    <row r="142" spans="1:15" ht="9.9499999999999993" customHeight="1">
      <c r="A142" s="19"/>
      <c r="B142" s="19"/>
      <c r="C142" s="19"/>
      <c r="D142" s="19"/>
      <c r="E142" s="19"/>
      <c r="F142" s="19"/>
      <c r="G142" s="19"/>
      <c r="H142" s="19"/>
      <c r="I142" s="19"/>
      <c r="J142" s="19"/>
      <c r="K142" s="19"/>
      <c r="L142" s="19"/>
      <c r="M142" s="19"/>
      <c r="N142" s="19"/>
      <c r="O142" s="19"/>
    </row>
    <row r="143" spans="1:15" ht="48" customHeight="1">
      <c r="A143" s="19"/>
      <c r="B143" s="648" t="s">
        <v>679</v>
      </c>
      <c r="C143" s="648"/>
      <c r="D143" s="648"/>
      <c r="E143" s="648"/>
      <c r="F143" s="648"/>
      <c r="G143" s="648"/>
      <c r="H143" s="648"/>
      <c r="I143" s="648"/>
      <c r="J143" s="648"/>
      <c r="K143" s="648"/>
      <c r="L143" s="19"/>
      <c r="M143" s="19"/>
      <c r="N143" s="19"/>
      <c r="O143" s="19"/>
    </row>
    <row r="144" spans="1:15" ht="15" customHeight="1">
      <c r="A144" s="19"/>
      <c r="B144" s="19"/>
      <c r="C144" s="19"/>
      <c r="D144" s="19"/>
      <c r="E144" s="19"/>
      <c r="F144" s="19"/>
      <c r="G144" s="19"/>
      <c r="H144" s="19"/>
      <c r="I144" s="19"/>
      <c r="J144" s="19"/>
      <c r="K144" s="19"/>
      <c r="L144" s="19"/>
      <c r="M144" s="19"/>
      <c r="N144" s="19"/>
      <c r="O144" s="19"/>
    </row>
    <row r="145" spans="1:15" ht="26.1" customHeight="1">
      <c r="A145" s="19"/>
      <c r="B145" s="645" t="s">
        <v>300</v>
      </c>
      <c r="C145" s="645"/>
      <c r="D145" s="645"/>
      <c r="E145" s="645"/>
      <c r="F145" s="645"/>
      <c r="G145" s="63"/>
      <c r="H145" s="645" t="s">
        <v>275</v>
      </c>
      <c r="I145" s="645"/>
      <c r="J145" s="645"/>
      <c r="K145" s="645"/>
      <c r="L145" s="645"/>
      <c r="M145" s="645"/>
      <c r="N145" s="645"/>
      <c r="O145" s="19"/>
    </row>
    <row r="146" spans="1:15" ht="5.0999999999999996" customHeight="1">
      <c r="A146" s="19"/>
      <c r="B146" s="27"/>
      <c r="C146" s="27"/>
      <c r="D146" s="27"/>
      <c r="E146" s="27"/>
      <c r="F146" s="27"/>
      <c r="G146" s="27"/>
      <c r="H146" s="27"/>
      <c r="I146" s="27"/>
      <c r="J146" s="27"/>
      <c r="K146" s="27"/>
      <c r="L146" s="27"/>
      <c r="M146" s="27"/>
      <c r="N146" s="27"/>
      <c r="O146" s="19"/>
    </row>
    <row r="147" spans="1:15" ht="15" customHeight="1">
      <c r="A147" s="19"/>
      <c r="B147" s="19"/>
      <c r="C147" s="19"/>
      <c r="D147" s="19"/>
      <c r="E147" s="19"/>
      <c r="F147" s="19"/>
      <c r="G147" s="19"/>
      <c r="H147" s="19"/>
      <c r="I147" s="19"/>
      <c r="J147" s="19"/>
      <c r="K147" s="19"/>
      <c r="L147" s="19"/>
      <c r="M147" s="19"/>
      <c r="N147" s="19"/>
      <c r="O147" s="19"/>
    </row>
    <row r="148" spans="1:15" ht="15" customHeight="1">
      <c r="A148" s="19"/>
      <c r="B148" s="19"/>
      <c r="C148" s="19"/>
      <c r="D148" s="19"/>
      <c r="E148" s="19"/>
      <c r="F148" s="19"/>
      <c r="G148" s="19"/>
      <c r="H148" s="19"/>
      <c r="I148" s="19"/>
      <c r="J148" s="19"/>
      <c r="K148" s="19"/>
      <c r="L148" s="19"/>
      <c r="M148" s="19"/>
      <c r="N148" s="19"/>
      <c r="O148" s="19"/>
    </row>
    <row r="149" spans="1:15" ht="15" customHeight="1">
      <c r="A149" s="19"/>
      <c r="B149" s="19"/>
      <c r="C149" s="19"/>
      <c r="D149" s="19"/>
      <c r="E149" s="19"/>
      <c r="F149" s="19"/>
      <c r="G149" s="19"/>
      <c r="H149" s="19"/>
      <c r="I149" s="19"/>
      <c r="J149" s="19"/>
      <c r="K149" s="19"/>
      <c r="L149" s="19"/>
      <c r="M149" s="19"/>
      <c r="N149" s="19"/>
      <c r="O149" s="19"/>
    </row>
    <row r="150" spans="1:15" ht="15" customHeight="1">
      <c r="A150" s="19"/>
      <c r="B150" s="19"/>
      <c r="C150" s="19"/>
      <c r="D150" s="19"/>
      <c r="E150" s="19"/>
      <c r="F150" s="19"/>
      <c r="G150" s="19"/>
      <c r="H150" s="19"/>
      <c r="I150" s="19"/>
      <c r="J150" s="19"/>
      <c r="K150" s="19"/>
      <c r="L150" s="19"/>
      <c r="M150" s="19"/>
      <c r="N150" s="19"/>
      <c r="O150" s="19"/>
    </row>
    <row r="151" spans="1:15" ht="15" customHeight="1">
      <c r="A151" s="19"/>
      <c r="B151" s="19"/>
      <c r="C151" s="19"/>
      <c r="D151" s="19"/>
      <c r="E151" s="19"/>
      <c r="F151" s="19"/>
      <c r="G151" s="19"/>
      <c r="H151" s="19"/>
      <c r="I151" s="19"/>
      <c r="J151" s="19"/>
      <c r="K151" s="19"/>
      <c r="L151" s="19"/>
      <c r="M151" s="19"/>
      <c r="N151" s="19"/>
      <c r="O151" s="19"/>
    </row>
    <row r="152" spans="1:15" ht="15" customHeight="1">
      <c r="A152" s="19"/>
      <c r="B152" s="19"/>
      <c r="C152" s="19"/>
      <c r="D152" s="19"/>
      <c r="E152" s="19"/>
      <c r="F152" s="19"/>
      <c r="G152" s="19"/>
      <c r="H152" s="19"/>
      <c r="I152" s="19"/>
      <c r="J152" s="19"/>
      <c r="K152" s="19"/>
      <c r="L152" s="19"/>
      <c r="M152" s="19"/>
      <c r="N152" s="19"/>
      <c r="O152" s="19"/>
    </row>
    <row r="153" spans="1:15" ht="15" customHeight="1">
      <c r="A153" s="19"/>
      <c r="B153" s="19"/>
      <c r="C153" s="19"/>
      <c r="D153" s="19"/>
      <c r="E153" s="19"/>
      <c r="F153" s="19"/>
      <c r="G153" s="19"/>
      <c r="H153" s="19"/>
      <c r="I153" s="19"/>
      <c r="J153" s="19"/>
      <c r="K153" s="19"/>
      <c r="L153" s="19"/>
      <c r="M153" s="19"/>
      <c r="N153" s="19"/>
      <c r="O153" s="19"/>
    </row>
    <row r="154" spans="1:15" ht="15" customHeight="1">
      <c r="A154" s="19"/>
      <c r="B154" s="19"/>
      <c r="C154" s="19"/>
      <c r="D154" s="19"/>
      <c r="E154" s="19"/>
      <c r="F154" s="19"/>
      <c r="G154" s="19"/>
      <c r="H154" s="19"/>
      <c r="I154" s="19"/>
      <c r="J154" s="19"/>
      <c r="K154" s="19"/>
      <c r="L154" s="19"/>
      <c r="M154" s="19"/>
      <c r="N154" s="19"/>
      <c r="O154" s="19"/>
    </row>
    <row r="155" spans="1:15" ht="15" customHeight="1">
      <c r="A155" s="19"/>
      <c r="B155" s="19"/>
      <c r="C155" s="19"/>
      <c r="D155" s="19"/>
      <c r="E155" s="19"/>
      <c r="F155" s="19"/>
      <c r="G155" s="19"/>
      <c r="H155" s="19"/>
      <c r="I155" s="19"/>
      <c r="J155" s="19"/>
      <c r="K155" s="19"/>
      <c r="L155" s="19"/>
      <c r="M155" s="19"/>
      <c r="N155" s="19"/>
      <c r="O155" s="19"/>
    </row>
    <row r="156" spans="1:15" ht="15" customHeight="1">
      <c r="A156" s="19"/>
      <c r="B156" s="19"/>
      <c r="C156" s="19"/>
      <c r="D156" s="19"/>
      <c r="E156" s="19"/>
      <c r="F156" s="19"/>
      <c r="G156" s="19"/>
      <c r="H156" s="19"/>
      <c r="I156" s="19"/>
      <c r="J156" s="19"/>
      <c r="K156" s="19"/>
      <c r="L156" s="19"/>
      <c r="M156" s="19"/>
      <c r="N156" s="19"/>
      <c r="O156" s="19"/>
    </row>
    <row r="157" spans="1:15" ht="15" customHeight="1">
      <c r="A157" s="19"/>
      <c r="B157" s="19"/>
      <c r="C157" s="19"/>
      <c r="D157" s="19"/>
      <c r="E157" s="19"/>
      <c r="F157" s="19"/>
      <c r="G157" s="19"/>
      <c r="H157" s="19"/>
      <c r="I157" s="19"/>
      <c r="J157" s="19"/>
      <c r="K157" s="19"/>
      <c r="L157" s="19"/>
      <c r="M157" s="19"/>
      <c r="N157" s="19"/>
      <c r="O157" s="19"/>
    </row>
    <row r="158" spans="1:15" ht="15" customHeight="1">
      <c r="A158" s="19"/>
      <c r="B158" s="19"/>
      <c r="C158" s="19"/>
      <c r="D158" s="19"/>
      <c r="E158" s="19"/>
      <c r="F158" s="19"/>
      <c r="G158" s="19"/>
      <c r="H158" s="19"/>
      <c r="I158" s="19"/>
      <c r="J158" s="19"/>
      <c r="K158" s="19"/>
      <c r="L158" s="19"/>
      <c r="M158" s="19"/>
      <c r="N158" s="19"/>
      <c r="O158" s="19"/>
    </row>
    <row r="159" spans="1:15" ht="15" customHeight="1">
      <c r="A159" s="19"/>
      <c r="B159" s="19"/>
      <c r="C159" s="19"/>
      <c r="D159" s="19"/>
      <c r="E159" s="19"/>
      <c r="F159" s="19"/>
      <c r="G159" s="19"/>
      <c r="H159" s="19"/>
      <c r="I159" s="19"/>
      <c r="J159" s="19"/>
      <c r="K159" s="19"/>
      <c r="L159" s="19"/>
      <c r="M159" s="19"/>
      <c r="N159" s="19"/>
      <c r="O159" s="19"/>
    </row>
    <row r="160" spans="1:15" ht="15" customHeight="1">
      <c r="A160" s="19"/>
      <c r="B160" s="19"/>
      <c r="C160" s="19"/>
      <c r="D160" s="19"/>
      <c r="E160" s="19"/>
      <c r="F160" s="19"/>
      <c r="G160" s="19"/>
      <c r="H160" s="19"/>
      <c r="I160" s="19"/>
      <c r="J160" s="19"/>
      <c r="K160" s="19"/>
      <c r="L160" s="19"/>
      <c r="M160" s="19"/>
      <c r="N160" s="19"/>
      <c r="O160" s="19"/>
    </row>
    <row r="161" spans="1:15" ht="15" customHeight="1">
      <c r="A161" s="19"/>
      <c r="B161" s="19"/>
      <c r="C161" s="643" t="s">
        <v>690</v>
      </c>
      <c r="D161" s="643"/>
      <c r="E161" s="643"/>
      <c r="F161" s="643"/>
      <c r="G161" s="19"/>
      <c r="H161" s="19"/>
      <c r="I161" s="19"/>
      <c r="J161" s="19"/>
      <c r="K161" s="643" t="s">
        <v>690</v>
      </c>
      <c r="L161" s="643"/>
      <c r="M161" s="643"/>
      <c r="N161" s="643"/>
      <c r="O161" s="19"/>
    </row>
    <row r="162" spans="1:15" ht="12.75" customHeight="1">
      <c r="A162" s="19"/>
      <c r="B162" s="120" t="s">
        <v>28</v>
      </c>
      <c r="C162" s="24"/>
      <c r="D162" s="24"/>
      <c r="E162" s="25"/>
      <c r="F162" s="24"/>
      <c r="G162" s="24"/>
      <c r="H162" s="24"/>
      <c r="I162" s="24"/>
      <c r="J162" s="24"/>
      <c r="K162" s="24"/>
      <c r="L162" s="24"/>
      <c r="M162" s="24"/>
      <c r="O162" s="19"/>
    </row>
    <row r="163" spans="1:15" ht="15" customHeight="1">
      <c r="A163" s="19"/>
      <c r="B163" s="19"/>
      <c r="C163" s="19"/>
      <c r="D163" s="19"/>
      <c r="E163" s="19"/>
      <c r="F163" s="19"/>
      <c r="G163" s="19"/>
      <c r="H163" s="19"/>
      <c r="I163" s="19"/>
      <c r="J163" s="19"/>
      <c r="K163" s="19"/>
      <c r="L163" s="19"/>
      <c r="M163" s="19"/>
      <c r="N163" s="19"/>
      <c r="O163" s="19"/>
    </row>
    <row r="164" spans="1:15" ht="15" customHeight="1">
      <c r="A164" s="19"/>
      <c r="B164" s="19"/>
      <c r="C164" s="19"/>
      <c r="D164" s="19"/>
      <c r="E164" s="19"/>
      <c r="F164" s="19"/>
      <c r="G164" s="19"/>
      <c r="H164" s="19"/>
      <c r="I164" s="19"/>
      <c r="J164" s="19"/>
      <c r="K164" s="19"/>
      <c r="L164" s="19"/>
      <c r="M164" s="19"/>
      <c r="N164" s="19"/>
      <c r="O164" s="19"/>
    </row>
    <row r="165" spans="1:15" ht="15" customHeight="1">
      <c r="A165" s="19"/>
      <c r="B165" s="19"/>
      <c r="C165" s="19"/>
      <c r="D165" s="19"/>
      <c r="E165" s="19"/>
      <c r="F165" s="19"/>
      <c r="G165" s="19"/>
      <c r="H165" s="19"/>
      <c r="I165" s="19"/>
      <c r="J165" s="19"/>
      <c r="K165" s="19"/>
      <c r="L165" s="19"/>
      <c r="M165" s="19"/>
      <c r="N165" s="19"/>
      <c r="O165" s="19"/>
    </row>
    <row r="166" spans="1:15" ht="15" customHeight="1" thickBot="1">
      <c r="A166" s="19"/>
      <c r="B166" s="19"/>
      <c r="C166" s="19"/>
      <c r="D166" s="19"/>
      <c r="E166" s="19"/>
      <c r="F166" s="19"/>
      <c r="G166" s="19"/>
      <c r="H166" s="19"/>
      <c r="I166" s="19"/>
      <c r="J166" s="19"/>
      <c r="K166" s="19"/>
      <c r="L166" s="19"/>
      <c r="M166" s="19"/>
      <c r="N166" s="19"/>
      <c r="O166" s="19"/>
    </row>
    <row r="167" spans="1:15" ht="9.9499999999999993" customHeight="1">
      <c r="A167" s="19"/>
      <c r="B167" s="608"/>
      <c r="C167" s="608"/>
      <c r="D167" s="608"/>
      <c r="E167" s="608"/>
      <c r="F167" s="608"/>
      <c r="G167" s="608"/>
      <c r="H167" s="608"/>
      <c r="I167" s="608"/>
      <c r="J167" s="608"/>
      <c r="K167" s="608"/>
      <c r="L167" s="608"/>
      <c r="M167" s="608"/>
      <c r="N167" s="608"/>
      <c r="O167" s="19"/>
    </row>
  </sheetData>
  <mergeCells count="93">
    <mergeCell ref="I136:K136"/>
    <mergeCell ref="B76:F76"/>
    <mergeCell ref="B39:F39"/>
    <mergeCell ref="C136:E136"/>
    <mergeCell ref="F136:H136"/>
    <mergeCell ref="B65:F65"/>
    <mergeCell ref="B101:N101"/>
    <mergeCell ref="B134:N134"/>
    <mergeCell ref="B136:B137"/>
    <mergeCell ref="C80:F80"/>
    <mergeCell ref="C116:F116"/>
    <mergeCell ref="C124:F124"/>
    <mergeCell ref="H82:N82"/>
    <mergeCell ref="B82:F82"/>
    <mergeCell ref="B118:F118"/>
    <mergeCell ref="B125:N125"/>
    <mergeCell ref="H103:N103"/>
    <mergeCell ref="C60:F60"/>
    <mergeCell ref="I2:N2"/>
    <mergeCell ref="I18:K18"/>
    <mergeCell ref="L18:N18"/>
    <mergeCell ref="B6:N6"/>
    <mergeCell ref="B14:N14"/>
    <mergeCell ref="B16:N16"/>
    <mergeCell ref="B18:B19"/>
    <mergeCell ref="B7:H7"/>
    <mergeCell ref="B9:H9"/>
    <mergeCell ref="B10:H10"/>
    <mergeCell ref="B11:H11"/>
    <mergeCell ref="B2:C2"/>
    <mergeCell ref="B8:H8"/>
    <mergeCell ref="C18:E18"/>
    <mergeCell ref="F18:H18"/>
    <mergeCell ref="B23:E23"/>
    <mergeCell ref="B27:B29"/>
    <mergeCell ref="I28:K28"/>
    <mergeCell ref="L28:N28"/>
    <mergeCell ref="C27:H28"/>
    <mergeCell ref="I27:N27"/>
    <mergeCell ref="I29:J29"/>
    <mergeCell ref="L29:M29"/>
    <mergeCell ref="C29:D29"/>
    <mergeCell ref="E29:F29"/>
    <mergeCell ref="G29:H29"/>
    <mergeCell ref="B25:N25"/>
    <mergeCell ref="B167:N167"/>
    <mergeCell ref="I30:J30"/>
    <mergeCell ref="C30:D30"/>
    <mergeCell ref="E30:F30"/>
    <mergeCell ref="G30:H30"/>
    <mergeCell ref="I31:J31"/>
    <mergeCell ref="B33:E33"/>
    <mergeCell ref="C31:D31"/>
    <mergeCell ref="E31:F31"/>
    <mergeCell ref="G31:H31"/>
    <mergeCell ref="C32:D32"/>
    <mergeCell ref="E32:F32"/>
    <mergeCell ref="G32:H32"/>
    <mergeCell ref="B72:F72"/>
    <mergeCell ref="B68:F68"/>
    <mergeCell ref="I67:K67"/>
    <mergeCell ref="K33:N33"/>
    <mergeCell ref="K23:N23"/>
    <mergeCell ref="K60:N60"/>
    <mergeCell ref="L138:N140"/>
    <mergeCell ref="K81:N81"/>
    <mergeCell ref="L30:M30"/>
    <mergeCell ref="L31:M31"/>
    <mergeCell ref="L32:M32"/>
    <mergeCell ref="H40:N40"/>
    <mergeCell ref="L67:N67"/>
    <mergeCell ref="H39:N39"/>
    <mergeCell ref="H65:N65"/>
    <mergeCell ref="I32:J32"/>
    <mergeCell ref="B63:N63"/>
    <mergeCell ref="B37:N37"/>
    <mergeCell ref="B40:F40"/>
    <mergeCell ref="C161:F161"/>
    <mergeCell ref="K161:N161"/>
    <mergeCell ref="C98:F98"/>
    <mergeCell ref="K98:N98"/>
    <mergeCell ref="C109:F109"/>
    <mergeCell ref="K117:N117"/>
    <mergeCell ref="K131:N131"/>
    <mergeCell ref="B145:F145"/>
    <mergeCell ref="H145:N145"/>
    <mergeCell ref="H118:N118"/>
    <mergeCell ref="B126:F128"/>
    <mergeCell ref="B103:F103"/>
    <mergeCell ref="B143:K143"/>
    <mergeCell ref="B110:N110"/>
    <mergeCell ref="B141:E141"/>
    <mergeCell ref="B132:N132"/>
  </mergeCells>
  <hyperlinks>
    <hyperlink ref="B61" location="'A01'!A1" display="Topo"/>
    <hyperlink ref="B11:H11" location="'A01'!A132" display="Esperança de Vida"/>
    <hyperlink ref="B10" location="'A01'!A100" display="Natalidade"/>
    <hyperlink ref="B9" location="'A01'!A54" display="Índices Demográficos"/>
    <hyperlink ref="B7" location="'A01'!A14" display="Estimativas da População Residente em 2007"/>
    <hyperlink ref="B4" location="INDICE!A1" display="Índice"/>
    <hyperlink ref="B35" location="'A01'!A1" display="Topo"/>
    <hyperlink ref="B8" location="'A01'!A75" display="Pirâmides Etárias"/>
    <hyperlink ref="B99" location="'A01'!A1" display="Topo"/>
    <hyperlink ref="B130" location="'A01'!A1" display="Topo"/>
    <hyperlink ref="B162" location="'A01'!A1" display="Topo"/>
    <hyperlink ref="B8:H8" location="'A01'!A37" display="Pirâmides Etárias"/>
    <hyperlink ref="B9:H9" location="'A01'!A63" display="Índices Demográficos"/>
    <hyperlink ref="B10:H10" location="'A01'!A101" display="Natalidade"/>
  </hyperlinks>
  <pageMargins left="0.39370078740157483" right="0.19685039370078741" top="0.78740157480314965" bottom="0.39370078740157483" header="0.31496062992125984" footer="0.31496062992125984"/>
  <pageSetup paperSize="9" scale="68" orientation="portrait" r:id="rId1"/>
  <rowBreaks count="2" manualBreakCount="2">
    <brk id="62" max="16383" man="1"/>
    <brk id="131" max="16383" man="1"/>
  </rowBreaks>
  <drawing r:id="rId2"/>
</worksheet>
</file>

<file path=xl/worksheets/sheet6.xml><?xml version="1.0" encoding="utf-8"?>
<worksheet xmlns="http://schemas.openxmlformats.org/spreadsheetml/2006/main" xmlns:r="http://schemas.openxmlformats.org/officeDocument/2006/relationships">
  <sheetPr codeName="Folha5"/>
  <dimension ref="A1:X216"/>
  <sheetViews>
    <sheetView zoomScaleNormal="100" workbookViewId="0"/>
  </sheetViews>
  <sheetFormatPr defaultRowHeight="14.25"/>
  <cols>
    <col min="1" max="1" width="2.7109375" style="6" customWidth="1"/>
    <col min="2" max="2" width="26.28515625" style="6" customWidth="1"/>
    <col min="3" max="3" width="14.140625" style="6" customWidth="1"/>
    <col min="4" max="4" width="13.85546875" style="6" customWidth="1"/>
    <col min="5" max="6" width="12.28515625" style="6" customWidth="1"/>
    <col min="7" max="10" width="14.28515625" style="6" customWidth="1"/>
    <col min="11" max="11" width="2.7109375" style="6" customWidth="1"/>
    <col min="12" max="16384" width="9.140625" style="6"/>
  </cols>
  <sheetData>
    <row r="1" spans="1:11" ht="9.9499999999999993" customHeight="1">
      <c r="A1" s="19"/>
      <c r="B1" s="19"/>
      <c r="C1" s="19"/>
      <c r="D1" s="19"/>
      <c r="E1" s="19"/>
      <c r="F1" s="19"/>
      <c r="G1" s="19"/>
      <c r="H1" s="19"/>
      <c r="I1" s="19"/>
      <c r="J1" s="19"/>
      <c r="K1" s="19"/>
    </row>
    <row r="2" spans="1:11" ht="20.100000000000001" customHeight="1" thickBot="1">
      <c r="A2" s="19"/>
      <c r="B2" s="729" t="str">
        <f>AUX!A1</f>
        <v>Perfil Local de Saúde 2014</v>
      </c>
      <c r="C2" s="729"/>
      <c r="D2" s="729"/>
      <c r="E2" s="111"/>
      <c r="F2" s="111"/>
      <c r="G2" s="111"/>
      <c r="H2" s="732">
        <f>AUX!A3</f>
        <v>0</v>
      </c>
      <c r="I2" s="732"/>
      <c r="J2" s="732"/>
      <c r="K2" s="19"/>
    </row>
    <row r="3" spans="1:11" ht="9.9499999999999993" customHeight="1" thickTop="1">
      <c r="A3" s="19"/>
      <c r="B3" s="19"/>
      <c r="C3" s="19"/>
      <c r="D3" s="19"/>
      <c r="E3" s="19"/>
      <c r="F3" s="19"/>
      <c r="G3" s="19"/>
      <c r="H3" s="19"/>
      <c r="I3" s="19"/>
      <c r="J3" s="19"/>
      <c r="K3" s="19"/>
    </row>
    <row r="4" spans="1:11">
      <c r="A4" s="19"/>
      <c r="B4" s="113" t="s">
        <v>0</v>
      </c>
      <c r="C4" s="19"/>
      <c r="D4" s="19"/>
      <c r="E4" s="19"/>
      <c r="F4" s="19"/>
      <c r="G4" s="19"/>
      <c r="H4" s="19"/>
      <c r="I4" s="19"/>
      <c r="J4" s="19"/>
      <c r="K4" s="19"/>
    </row>
    <row r="5" spans="1:11" ht="15" customHeight="1">
      <c r="A5" s="19"/>
      <c r="B5" s="21"/>
      <c r="C5" s="19"/>
      <c r="D5" s="19"/>
      <c r="E5" s="19"/>
      <c r="F5" s="19"/>
      <c r="G5" s="19"/>
      <c r="H5" s="19"/>
      <c r="I5" s="19"/>
      <c r="J5" s="19"/>
      <c r="K5" s="19"/>
    </row>
    <row r="6" spans="1:11" ht="24.95" customHeight="1">
      <c r="A6" s="19"/>
      <c r="B6" s="730" t="s">
        <v>5</v>
      </c>
      <c r="C6" s="730"/>
      <c r="D6" s="730"/>
      <c r="E6" s="730"/>
      <c r="F6" s="730"/>
      <c r="G6" s="730"/>
      <c r="H6" s="730"/>
      <c r="I6" s="730"/>
      <c r="J6" s="730"/>
      <c r="K6" s="19"/>
    </row>
    <row r="7" spans="1:11" ht="18" customHeight="1">
      <c r="A7" s="19"/>
      <c r="B7" s="731" t="s">
        <v>67</v>
      </c>
      <c r="C7" s="731"/>
      <c r="D7" s="731"/>
      <c r="E7" s="731"/>
      <c r="F7" s="731"/>
      <c r="G7" s="731"/>
      <c r="H7" s="731"/>
      <c r="I7" s="19"/>
      <c r="J7" s="19"/>
      <c r="K7" s="19"/>
    </row>
    <row r="8" spans="1:11" ht="15" customHeight="1">
      <c r="A8" s="19"/>
      <c r="B8" s="731" t="s">
        <v>179</v>
      </c>
      <c r="C8" s="731"/>
      <c r="D8" s="731"/>
      <c r="E8" s="731"/>
      <c r="F8" s="731"/>
      <c r="G8" s="731"/>
      <c r="H8" s="731"/>
      <c r="I8" s="19"/>
      <c r="J8" s="19"/>
      <c r="K8" s="19"/>
    </row>
    <row r="9" spans="1:11" ht="15" customHeight="1">
      <c r="A9" s="385"/>
      <c r="B9" s="731" t="s">
        <v>181</v>
      </c>
      <c r="C9" s="731"/>
      <c r="D9" s="731"/>
      <c r="E9" s="731"/>
      <c r="F9" s="731"/>
      <c r="G9" s="731"/>
      <c r="H9" s="731"/>
      <c r="I9" s="385"/>
      <c r="J9" s="385"/>
      <c r="K9" s="385"/>
    </row>
    <row r="10" spans="1:11" ht="15" customHeight="1">
      <c r="A10" s="19"/>
      <c r="B10" s="731" t="s">
        <v>66</v>
      </c>
      <c r="C10" s="731"/>
      <c r="D10" s="731"/>
      <c r="E10" s="731"/>
      <c r="F10" s="731"/>
      <c r="G10" s="731"/>
      <c r="H10" s="731"/>
      <c r="I10" s="19"/>
      <c r="J10" s="19"/>
      <c r="K10" s="19"/>
    </row>
    <row r="11" spans="1:11" ht="15" customHeight="1">
      <c r="A11" s="543"/>
      <c r="B11" s="731" t="s">
        <v>65</v>
      </c>
      <c r="C11" s="731"/>
      <c r="D11" s="731"/>
      <c r="E11" s="731"/>
      <c r="F11" s="731"/>
      <c r="G11" s="731"/>
      <c r="H11" s="731"/>
      <c r="I11" s="543"/>
      <c r="J11" s="543"/>
      <c r="K11" s="543"/>
    </row>
    <row r="12" spans="1:11" ht="15" customHeight="1">
      <c r="A12" s="19"/>
      <c r="B12" s="731" t="s">
        <v>508</v>
      </c>
      <c r="C12" s="731"/>
      <c r="D12" s="731"/>
      <c r="E12" s="731"/>
      <c r="F12" s="731"/>
      <c r="G12" s="731"/>
      <c r="H12" s="731"/>
      <c r="I12" s="19"/>
      <c r="J12" s="19"/>
      <c r="K12" s="19"/>
    </row>
    <row r="13" spans="1:11" ht="20.100000000000001" customHeight="1">
      <c r="A13" s="19"/>
      <c r="B13" s="19"/>
      <c r="C13" s="19"/>
      <c r="D13" s="19"/>
      <c r="E13" s="19"/>
      <c r="F13" s="19"/>
      <c r="G13" s="19"/>
      <c r="H13" s="19"/>
      <c r="I13" s="19"/>
      <c r="J13" s="19"/>
      <c r="K13" s="19"/>
    </row>
    <row r="14" spans="1:11" ht="20.100000000000001" customHeight="1" thickBot="1">
      <c r="A14" s="19"/>
      <c r="B14" s="702" t="s">
        <v>67</v>
      </c>
      <c r="C14" s="702"/>
      <c r="D14" s="702"/>
      <c r="E14" s="702"/>
      <c r="F14" s="702"/>
      <c r="G14" s="702"/>
      <c r="H14" s="702"/>
      <c r="I14" s="702"/>
      <c r="J14" s="702"/>
      <c r="K14" s="19"/>
    </row>
    <row r="15" spans="1:11" ht="9.9499999999999993" customHeight="1">
      <c r="A15" s="19"/>
      <c r="B15" s="19"/>
      <c r="C15" s="19"/>
      <c r="D15" s="19"/>
      <c r="E15" s="19"/>
      <c r="F15" s="19"/>
      <c r="G15" s="19"/>
      <c r="H15" s="19"/>
      <c r="I15" s="19"/>
      <c r="J15" s="19"/>
      <c r="K15" s="19"/>
    </row>
    <row r="16" spans="1:11" ht="39.950000000000003" customHeight="1">
      <c r="A16" s="414"/>
      <c r="B16" s="703" t="s">
        <v>595</v>
      </c>
      <c r="C16" s="703"/>
      <c r="D16" s="703"/>
      <c r="E16" s="703"/>
      <c r="F16" s="704" t="str">
        <f>"EVOLUÇÃO MENSAL DO NÚMERO DE DESEMPREGADOS INSCRITOS NO INSTITUTO DE EMPREGO E FORMAÇÃO PROFISSIONAL (IEFP) " &amp; AUX!E3 &amp; " , POR GÉNERO (JAN-04 A DEZ-13)"</f>
        <v>EVOLUÇÃO MENSAL DO NÚMERO DE DESEMPREGADOS INSCRITOS NO INSTITUTO DE EMPREGO E FORMAÇÃO PROFISSIONAL (IEFP) NO  , POR GÉNERO (JAN-04 A DEZ-13)</v>
      </c>
      <c r="G16" s="704"/>
      <c r="H16" s="704"/>
      <c r="I16" s="704"/>
      <c r="J16" s="704"/>
      <c r="K16" s="414"/>
    </row>
    <row r="17" spans="1:11" ht="5.0999999999999996" customHeight="1">
      <c r="A17" s="414"/>
      <c r="B17" s="414"/>
      <c r="C17" s="414"/>
      <c r="D17" s="414"/>
      <c r="E17" s="414"/>
      <c r="F17" s="414"/>
      <c r="G17" s="414"/>
      <c r="H17" s="414"/>
      <c r="I17" s="414"/>
      <c r="J17" s="414"/>
      <c r="K17" s="414"/>
    </row>
    <row r="18" spans="1:11" ht="15" customHeight="1">
      <c r="A18" s="414"/>
      <c r="B18" s="415" t="s">
        <v>8</v>
      </c>
      <c r="C18" s="420">
        <v>40878</v>
      </c>
      <c r="D18" s="420">
        <v>41244</v>
      </c>
      <c r="E18" s="420">
        <v>41609</v>
      </c>
      <c r="F18" s="414"/>
      <c r="G18" s="414"/>
      <c r="H18" s="414"/>
      <c r="I18" s="414"/>
      <c r="J18" s="414"/>
      <c r="K18" s="414"/>
    </row>
    <row r="19" spans="1:11" ht="15" customHeight="1">
      <c r="A19" s="414"/>
      <c r="B19" s="724" t="s">
        <v>303</v>
      </c>
      <c r="C19" s="724"/>
      <c r="D19" s="724"/>
      <c r="E19" s="724"/>
      <c r="F19" s="414"/>
      <c r="G19" s="414"/>
      <c r="H19" s="414"/>
      <c r="I19" s="414"/>
      <c r="J19" s="414"/>
      <c r="K19" s="414"/>
    </row>
    <row r="20" spans="1:11" ht="15" customHeight="1">
      <c r="A20" s="414"/>
      <c r="B20" s="253" t="s">
        <v>16</v>
      </c>
      <c r="C20" s="424">
        <f>AUX!CS104</f>
        <v>576383</v>
      </c>
      <c r="D20" s="424">
        <f>AUX!DE104</f>
        <v>675466</v>
      </c>
      <c r="E20" s="424">
        <f>AUX!DQ104</f>
        <v>654569</v>
      </c>
      <c r="F20" s="414"/>
      <c r="G20" s="414"/>
      <c r="H20" s="414"/>
      <c r="I20" s="414"/>
      <c r="J20" s="414"/>
      <c r="K20" s="414"/>
    </row>
    <row r="21" spans="1:11" ht="15" customHeight="1">
      <c r="A21" s="414"/>
      <c r="B21" s="254">
        <f>AUX!A2</f>
        <v>0</v>
      </c>
      <c r="C21" s="425">
        <f>AUX!CS105</f>
        <v>0</v>
      </c>
      <c r="D21" s="425">
        <f>AUX!DE105</f>
        <v>0</v>
      </c>
      <c r="E21" s="425">
        <f>AUX!DQ105</f>
        <v>0</v>
      </c>
      <c r="F21" s="414"/>
      <c r="G21" s="414"/>
      <c r="H21" s="414"/>
      <c r="I21" s="414"/>
      <c r="J21" s="414"/>
      <c r="K21" s="414"/>
    </row>
    <row r="22" spans="1:11" ht="15" customHeight="1">
      <c r="A22" s="414"/>
      <c r="B22" s="597">
        <f>AUX!A3</f>
        <v>0</v>
      </c>
      <c r="C22" s="426">
        <f>AUX!CS106</f>
        <v>0</v>
      </c>
      <c r="D22" s="426">
        <f>AUX!DE106</f>
        <v>0</v>
      </c>
      <c r="E22" s="426">
        <f>AUX!DQ106</f>
        <v>0</v>
      </c>
      <c r="F22" s="414"/>
      <c r="G22" s="414"/>
      <c r="H22" s="414"/>
      <c r="I22" s="414"/>
      <c r="J22" s="414"/>
      <c r="K22" s="414"/>
    </row>
    <row r="23" spans="1:11" ht="12.95" customHeight="1">
      <c r="A23" s="414"/>
      <c r="B23" s="422" t="s">
        <v>62</v>
      </c>
      <c r="C23" s="427">
        <f>AUX!CS107</f>
        <v>0</v>
      </c>
      <c r="D23" s="427">
        <f>AUX!DE107</f>
        <v>0</v>
      </c>
      <c r="E23" s="427">
        <f>AUX!DQ107</f>
        <v>0</v>
      </c>
      <c r="F23" s="414"/>
      <c r="G23" s="414"/>
      <c r="H23" s="414"/>
      <c r="I23" s="414"/>
      <c r="J23" s="414"/>
      <c r="K23" s="414"/>
    </row>
    <row r="24" spans="1:11" ht="12.95" customHeight="1">
      <c r="A24" s="414"/>
      <c r="B24" s="423" t="s">
        <v>63</v>
      </c>
      <c r="C24" s="428">
        <f>AUX!CS108</f>
        <v>0</v>
      </c>
      <c r="D24" s="428">
        <f>AUX!DE108</f>
        <v>0</v>
      </c>
      <c r="E24" s="428">
        <f>AUX!DQ108</f>
        <v>0</v>
      </c>
      <c r="F24" s="414"/>
      <c r="G24" s="414"/>
      <c r="H24" s="414"/>
      <c r="I24" s="414"/>
      <c r="J24" s="414"/>
      <c r="K24" s="414"/>
    </row>
    <row r="25" spans="1:11" ht="15" customHeight="1">
      <c r="A25" s="414"/>
      <c r="B25" s="721" t="s">
        <v>304</v>
      </c>
      <c r="C25" s="722"/>
      <c r="D25" s="722"/>
      <c r="E25" s="723"/>
      <c r="F25" s="414"/>
      <c r="G25" s="414"/>
      <c r="H25" s="414"/>
      <c r="I25" s="414"/>
      <c r="J25" s="414"/>
      <c r="K25" s="414"/>
    </row>
    <row r="26" spans="1:11" ht="15" customHeight="1">
      <c r="A26" s="414"/>
      <c r="B26" s="253" t="s">
        <v>16</v>
      </c>
      <c r="C26" s="256">
        <f>AUX!CG112</f>
        <v>10.866763610623826</v>
      </c>
      <c r="D26" s="256">
        <f>AUX!CS112</f>
        <v>17.190479247306044</v>
      </c>
      <c r="E26" s="256">
        <f>AUX!DE112</f>
        <v>-3.0937160419621414</v>
      </c>
      <c r="F26" s="414"/>
      <c r="G26" s="414"/>
      <c r="H26" s="414"/>
      <c r="I26" s="414"/>
      <c r="J26" s="414"/>
      <c r="K26" s="414"/>
    </row>
    <row r="27" spans="1:11" ht="15" customHeight="1">
      <c r="A27" s="414"/>
      <c r="B27" s="254">
        <f>AUX!A2</f>
        <v>0</v>
      </c>
      <c r="C27" s="257">
        <f>AUX!CG113</f>
        <v>0</v>
      </c>
      <c r="D27" s="257">
        <f>AUX!CS113</f>
        <v>0</v>
      </c>
      <c r="E27" s="257">
        <f>AUX!DE113</f>
        <v>0</v>
      </c>
      <c r="F27" s="414"/>
      <c r="G27" s="414"/>
      <c r="H27" s="414"/>
      <c r="I27" s="414"/>
      <c r="J27" s="414"/>
      <c r="K27" s="414"/>
    </row>
    <row r="28" spans="1:11" ht="15" customHeight="1">
      <c r="A28" s="414"/>
      <c r="B28" s="598">
        <f>AUX!A3</f>
        <v>0</v>
      </c>
      <c r="C28" s="258">
        <f>AUX!CG114</f>
        <v>0</v>
      </c>
      <c r="D28" s="258">
        <f>AUX!CS114</f>
        <v>0</v>
      </c>
      <c r="E28" s="258">
        <f>AUX!DE114</f>
        <v>0</v>
      </c>
      <c r="F28" s="414"/>
      <c r="G28" s="414"/>
      <c r="H28" s="414"/>
      <c r="I28" s="414"/>
      <c r="J28" s="414"/>
      <c r="K28" s="414"/>
    </row>
    <row r="29" spans="1:11" ht="15" customHeight="1">
      <c r="A29" s="414"/>
      <c r="B29" s="542" t="s">
        <v>495</v>
      </c>
      <c r="C29" s="416"/>
      <c r="D29" s="416"/>
      <c r="E29" s="417"/>
      <c r="F29" s="414"/>
      <c r="G29" s="414"/>
      <c r="H29" s="414"/>
      <c r="I29" s="414"/>
      <c r="J29" s="414"/>
      <c r="K29" s="414"/>
    </row>
    <row r="30" spans="1:11" ht="15" customHeight="1">
      <c r="A30" s="414"/>
      <c r="B30" s="253" t="s">
        <v>16</v>
      </c>
      <c r="C30" s="256">
        <f>AUX!CS118</f>
        <v>67.444485373101628</v>
      </c>
      <c r="D30" s="256">
        <f>AUX!DE118</f>
        <v>79.352050551973861</v>
      </c>
      <c r="E30" s="256">
        <f>AUX!DQ118</f>
        <v>76.897123434421545</v>
      </c>
      <c r="F30" s="414"/>
      <c r="G30" s="414"/>
      <c r="H30" s="414"/>
      <c r="I30" s="414"/>
      <c r="J30" s="414"/>
      <c r="K30" s="414"/>
    </row>
    <row r="31" spans="1:11" ht="15" customHeight="1">
      <c r="A31" s="414"/>
      <c r="B31" s="254">
        <f>AUX!A2</f>
        <v>0</v>
      </c>
      <c r="C31" s="257">
        <f>AUX!CS119</f>
        <v>0</v>
      </c>
      <c r="D31" s="257">
        <f>AUX!DE119</f>
        <v>0</v>
      </c>
      <c r="E31" s="257">
        <f>AUX!DQ119</f>
        <v>0</v>
      </c>
      <c r="F31" s="414"/>
      <c r="G31" s="414"/>
      <c r="H31" s="414"/>
      <c r="I31" s="414"/>
      <c r="J31" s="414"/>
      <c r="K31" s="414"/>
    </row>
    <row r="32" spans="1:11" ht="15" customHeight="1">
      <c r="A32" s="414"/>
      <c r="B32" s="598">
        <f>AUX!A3</f>
        <v>0</v>
      </c>
      <c r="C32" s="258">
        <f>AUX!CS120</f>
        <v>0</v>
      </c>
      <c r="D32" s="258">
        <f>AUX!DE120</f>
        <v>0</v>
      </c>
      <c r="E32" s="258">
        <f>AUX!DQ120</f>
        <v>0</v>
      </c>
      <c r="F32" s="414"/>
      <c r="G32" s="414"/>
      <c r="H32" s="414"/>
      <c r="I32" s="414"/>
      <c r="J32" s="414"/>
      <c r="K32" s="414"/>
    </row>
    <row r="33" spans="1:11" ht="15" customHeight="1">
      <c r="A33" s="414"/>
      <c r="B33" s="421"/>
      <c r="C33" s="644" t="s">
        <v>694</v>
      </c>
      <c r="D33" s="644"/>
      <c r="E33" s="644"/>
      <c r="F33" s="550"/>
      <c r="G33" s="414"/>
      <c r="H33" s="414"/>
      <c r="I33" s="414"/>
      <c r="J33" s="414"/>
      <c r="K33" s="414"/>
    </row>
    <row r="34" spans="1:11" ht="24.95" customHeight="1">
      <c r="A34" s="414"/>
      <c r="B34" s="647" t="s">
        <v>64</v>
      </c>
      <c r="C34" s="647"/>
      <c r="D34" s="647"/>
      <c r="E34" s="112"/>
      <c r="G34" s="414"/>
      <c r="H34" s="644" t="s">
        <v>694</v>
      </c>
      <c r="I34" s="644"/>
      <c r="J34" s="644"/>
      <c r="K34" s="414"/>
    </row>
    <row r="35" spans="1:11" ht="15" customHeight="1">
      <c r="A35" s="414"/>
      <c r="B35" s="414"/>
      <c r="C35" s="414"/>
      <c r="D35" s="414"/>
      <c r="E35" s="414"/>
      <c r="F35" s="414"/>
      <c r="G35" s="414"/>
      <c r="H35" s="414"/>
      <c r="I35" s="414"/>
      <c r="J35" s="414"/>
      <c r="K35" s="414"/>
    </row>
    <row r="36" spans="1:11" ht="50.1" customHeight="1">
      <c r="A36" s="19"/>
      <c r="B36" s="703" t="str">
        <f>"VARIAÇÃO HOMÓLOGA* DO NÚMERO DE DESEMPREGADOS INSCRITOS NO INSTITUTO DE EMPREGO E FORMAÇÃO PROFISSIONAL (IEFP) " &amp; AUX!F2 &amp; " E " &amp; AUX!E3 &amp; " (JAN-05 A DEZ-13)"</f>
        <v>VARIAÇÃO HOMÓLOGA* DO NÚMERO DE DESEMPREGADOS INSCRITOS NO INSTITUTO DE EMPREGO E FORMAÇÃO PROFISSIONAL (IEFP) NA  E NO  (JAN-05 A DEZ-13)</v>
      </c>
      <c r="C36" s="703"/>
      <c r="D36" s="703"/>
      <c r="E36" s="703"/>
      <c r="F36" s="704" t="str">
        <f>"EVOLUÇÃO MENSAL DOS DESEMPREGADOS INSCRITOS NO INSTITUTO DE EMPREGO E FORMAÇÃO PROFISSIONAL (IEFP) / 1000 HABITANTES DA POPULAÇÃO ATIVA (15+ ANOS) NO CONTINENTE, " &amp; AUX!F2 &amp; " E " &amp; AUX!E3 &amp; " (JAN-04 A DEZ-13)"</f>
        <v>EVOLUÇÃO MENSAL DOS DESEMPREGADOS INSCRITOS NO INSTITUTO DE EMPREGO E FORMAÇÃO PROFISSIONAL (IEFP) / 1000 HABITANTES DA POPULAÇÃO ATIVA (15+ ANOS) NO CONTINENTE, NA  E NO  (JAN-04 A DEZ-13)</v>
      </c>
      <c r="G36" s="704"/>
      <c r="H36" s="704"/>
      <c r="I36" s="704"/>
      <c r="J36" s="704"/>
      <c r="K36" s="19"/>
    </row>
    <row r="37" spans="1:11" ht="5.0999999999999996" customHeight="1">
      <c r="A37" s="19"/>
      <c r="B37" s="19"/>
      <c r="C37" s="19"/>
      <c r="D37" s="19"/>
      <c r="E37" s="19"/>
      <c r="F37" s="19"/>
      <c r="G37" s="19"/>
      <c r="H37" s="19"/>
      <c r="I37" s="19"/>
      <c r="J37" s="19"/>
      <c r="K37" s="19"/>
    </row>
    <row r="38" spans="1:11" ht="15" customHeight="1">
      <c r="A38" s="19"/>
      <c r="B38" s="19"/>
      <c r="C38" s="19"/>
      <c r="D38" s="19"/>
      <c r="E38" s="19"/>
      <c r="F38" s="19"/>
      <c r="G38" s="19"/>
      <c r="H38" s="19"/>
      <c r="I38" s="19"/>
      <c r="J38" s="19"/>
      <c r="K38" s="19"/>
    </row>
    <row r="39" spans="1:11" ht="15" customHeight="1">
      <c r="A39" s="19"/>
      <c r="B39" s="19"/>
      <c r="C39" s="19"/>
      <c r="D39" s="19"/>
      <c r="E39" s="19"/>
      <c r="F39" s="19"/>
      <c r="G39" s="19"/>
      <c r="H39" s="19"/>
      <c r="I39" s="19"/>
      <c r="J39" s="19"/>
      <c r="K39" s="19"/>
    </row>
    <row r="40" spans="1:11" ht="15" customHeight="1">
      <c r="A40" s="19"/>
      <c r="B40" s="19"/>
      <c r="C40" s="19"/>
      <c r="D40" s="19"/>
      <c r="E40" s="19"/>
      <c r="F40" s="19"/>
      <c r="G40" s="19"/>
      <c r="H40" s="19"/>
      <c r="I40" s="19"/>
      <c r="J40" s="19"/>
      <c r="K40" s="19"/>
    </row>
    <row r="41" spans="1:11" ht="15" customHeight="1">
      <c r="A41" s="19"/>
      <c r="B41" s="19"/>
      <c r="C41" s="19"/>
      <c r="D41" s="19"/>
      <c r="E41" s="19"/>
      <c r="F41" s="19"/>
      <c r="G41" s="19"/>
      <c r="H41" s="19"/>
      <c r="I41" s="19"/>
      <c r="J41" s="19"/>
      <c r="K41" s="19"/>
    </row>
    <row r="42" spans="1:11" ht="15" customHeight="1">
      <c r="A42" s="19"/>
      <c r="B42" s="19"/>
      <c r="C42" s="19"/>
      <c r="D42" s="19"/>
      <c r="E42" s="19"/>
      <c r="F42" s="19"/>
      <c r="G42" s="19"/>
      <c r="H42" s="19"/>
      <c r="I42" s="19"/>
      <c r="J42" s="19"/>
      <c r="K42" s="19"/>
    </row>
    <row r="43" spans="1:11" ht="15" customHeight="1">
      <c r="A43" s="19"/>
      <c r="B43" s="19"/>
      <c r="C43" s="19"/>
      <c r="D43" s="19"/>
      <c r="E43" s="19"/>
      <c r="F43" s="19"/>
      <c r="G43" s="19"/>
      <c r="H43" s="19"/>
      <c r="I43" s="19"/>
      <c r="J43" s="19"/>
      <c r="K43" s="19"/>
    </row>
    <row r="44" spans="1:11" ht="15" customHeight="1">
      <c r="A44" s="19"/>
      <c r="B44" s="19"/>
      <c r="C44" s="19"/>
      <c r="D44" s="19"/>
      <c r="E44" s="19"/>
      <c r="F44" s="19"/>
      <c r="G44" s="19"/>
      <c r="H44" s="19"/>
      <c r="I44" s="19"/>
      <c r="J44" s="19"/>
      <c r="K44" s="19"/>
    </row>
    <row r="45" spans="1:11" ht="15" customHeight="1">
      <c r="A45" s="19"/>
      <c r="B45" s="19"/>
      <c r="C45" s="19"/>
      <c r="D45" s="19"/>
      <c r="E45" s="19"/>
      <c r="F45" s="19"/>
      <c r="G45" s="19"/>
      <c r="H45" s="19"/>
      <c r="I45" s="19"/>
      <c r="J45" s="19"/>
      <c r="K45" s="19"/>
    </row>
    <row r="46" spans="1:11" ht="15" customHeight="1">
      <c r="A46" s="19"/>
      <c r="B46" s="19"/>
      <c r="C46" s="19"/>
      <c r="D46" s="19"/>
      <c r="E46" s="19"/>
      <c r="F46" s="19"/>
      <c r="G46" s="19"/>
      <c r="H46" s="19"/>
      <c r="I46" s="19"/>
      <c r="J46" s="19"/>
      <c r="K46" s="19"/>
    </row>
    <row r="47" spans="1:11" ht="15" customHeight="1">
      <c r="A47" s="19"/>
      <c r="B47" s="19"/>
      <c r="C47" s="19"/>
      <c r="D47" s="19"/>
      <c r="E47" s="19"/>
      <c r="F47" s="19"/>
      <c r="G47" s="19"/>
      <c r="H47" s="19"/>
      <c r="I47" s="19"/>
      <c r="J47" s="19"/>
      <c r="K47" s="19"/>
    </row>
    <row r="48" spans="1:11" ht="15" customHeight="1">
      <c r="A48" s="19"/>
      <c r="B48" s="19"/>
      <c r="C48" s="19"/>
      <c r="D48" s="19"/>
      <c r="E48" s="19"/>
      <c r="F48" s="19"/>
      <c r="G48" s="19"/>
      <c r="H48" s="19"/>
      <c r="I48" s="19"/>
      <c r="J48" s="19"/>
      <c r="K48" s="19"/>
    </row>
    <row r="49" spans="1:11" ht="15" customHeight="1">
      <c r="A49" s="19"/>
      <c r="B49" s="19"/>
      <c r="C49" s="19"/>
      <c r="D49" s="19"/>
      <c r="E49" s="19"/>
      <c r="F49" s="19"/>
      <c r="G49" s="19"/>
      <c r="H49" s="19"/>
      <c r="I49" s="19"/>
      <c r="J49" s="19"/>
      <c r="K49" s="19"/>
    </row>
    <row r="50" spans="1:11" ht="15" customHeight="1">
      <c r="A50" s="19"/>
      <c r="B50" s="543"/>
      <c r="C50" s="543"/>
      <c r="D50" s="543"/>
      <c r="E50" s="543"/>
      <c r="F50" s="543"/>
      <c r="G50" s="543"/>
      <c r="H50" s="543"/>
      <c r="I50" s="543"/>
      <c r="J50" s="543"/>
      <c r="K50" s="543"/>
    </row>
    <row r="51" spans="1:11" ht="15" customHeight="1">
      <c r="A51" s="19"/>
      <c r="B51" s="543"/>
      <c r="C51" s="543"/>
      <c r="D51" s="543"/>
      <c r="E51" s="543"/>
      <c r="F51" s="543"/>
      <c r="G51" s="543"/>
      <c r="H51" s="543"/>
      <c r="I51" s="543"/>
      <c r="J51" s="543"/>
      <c r="K51" s="543"/>
    </row>
    <row r="52" spans="1:11" ht="30" customHeight="1">
      <c r="A52" s="19"/>
      <c r="B52" s="543"/>
      <c r="C52" s="543"/>
      <c r="D52" s="543"/>
      <c r="E52" s="543"/>
      <c r="F52" s="543"/>
      <c r="G52" s="543"/>
      <c r="H52" s="543"/>
      <c r="I52" s="543"/>
      <c r="J52" s="543"/>
      <c r="K52" s="543"/>
    </row>
    <row r="53" spans="1:11" ht="15" customHeight="1">
      <c r="A53" s="19"/>
      <c r="B53" s="543"/>
      <c r="C53" s="655" t="s">
        <v>694</v>
      </c>
      <c r="D53" s="655"/>
      <c r="E53" s="655"/>
      <c r="F53" s="543"/>
      <c r="G53" s="543"/>
      <c r="H53" s="644" t="s">
        <v>694</v>
      </c>
      <c r="I53" s="644"/>
      <c r="J53" s="644"/>
      <c r="K53" s="543"/>
    </row>
    <row r="54" spans="1:11" ht="24.95" customHeight="1">
      <c r="A54" s="19"/>
      <c r="B54" s="647" t="s">
        <v>64</v>
      </c>
      <c r="C54" s="647"/>
      <c r="D54" s="647"/>
      <c r="E54" s="112"/>
      <c r="F54" s="543"/>
      <c r="G54" s="543"/>
      <c r="H54" s="543"/>
      <c r="I54" s="543"/>
      <c r="J54" s="112"/>
      <c r="K54" s="543"/>
    </row>
    <row r="55" spans="1:11" ht="24.95" customHeight="1">
      <c r="A55" s="19"/>
      <c r="B55" s="114" t="s">
        <v>28</v>
      </c>
      <c r="C55" s="19"/>
      <c r="D55" s="19"/>
      <c r="E55" s="19"/>
      <c r="F55" s="719"/>
      <c r="G55" s="719"/>
      <c r="H55" s="719"/>
      <c r="I55" s="719"/>
      <c r="J55" s="719"/>
      <c r="K55" s="19"/>
    </row>
    <row r="56" spans="1:11" ht="20.100000000000001" customHeight="1">
      <c r="A56" s="19"/>
      <c r="B56" s="19"/>
      <c r="C56" s="19"/>
      <c r="D56" s="19"/>
      <c r="E56" s="19"/>
      <c r="F56" s="19"/>
      <c r="G56" s="19"/>
      <c r="H56" s="19"/>
      <c r="I56" s="19"/>
      <c r="J56" s="19"/>
      <c r="K56" s="19"/>
    </row>
    <row r="57" spans="1:11" ht="24.95" customHeight="1">
      <c r="A57" s="414"/>
      <c r="B57" s="703" t="s">
        <v>276</v>
      </c>
      <c r="C57" s="703"/>
      <c r="D57" s="703"/>
      <c r="E57" s="703"/>
      <c r="F57" s="704" t="s">
        <v>276</v>
      </c>
      <c r="G57" s="704"/>
      <c r="H57" s="704"/>
      <c r="I57" s="704"/>
      <c r="J57" s="704"/>
      <c r="K57" s="414"/>
    </row>
    <row r="58" spans="1:11" ht="4.5" customHeight="1">
      <c r="A58" s="414"/>
      <c r="B58" s="414"/>
      <c r="C58" s="414"/>
      <c r="D58" s="414"/>
      <c r="E58" s="414"/>
      <c r="F58" s="414"/>
      <c r="G58" s="414"/>
      <c r="H58" s="414"/>
      <c r="I58" s="414"/>
      <c r="J58" s="414"/>
      <c r="K58" s="414"/>
    </row>
    <row r="59" spans="1:11" ht="30" customHeight="1">
      <c r="A59" s="414"/>
      <c r="B59" s="429" t="s">
        <v>8</v>
      </c>
      <c r="C59" s="251" t="s">
        <v>277</v>
      </c>
      <c r="D59" s="251" t="s">
        <v>278</v>
      </c>
      <c r="E59" s="251" t="s">
        <v>279</v>
      </c>
      <c r="F59" s="414"/>
      <c r="G59" s="414"/>
      <c r="H59" s="414"/>
      <c r="I59" s="414"/>
      <c r="J59" s="414"/>
      <c r="K59" s="414"/>
    </row>
    <row r="60" spans="1:11" ht="20.100000000000001" customHeight="1">
      <c r="A60" s="418"/>
      <c r="B60" s="724" t="s">
        <v>305</v>
      </c>
      <c r="C60" s="724"/>
      <c r="D60" s="724"/>
      <c r="E60" s="724"/>
      <c r="F60" s="418"/>
      <c r="G60" s="418"/>
      <c r="H60" s="418"/>
      <c r="I60" s="418"/>
      <c r="J60" s="418"/>
      <c r="K60" s="418"/>
    </row>
    <row r="61" spans="1:11" ht="15.95" customHeight="1">
      <c r="A61" s="418"/>
      <c r="B61" s="253" t="s">
        <v>16</v>
      </c>
      <c r="C61" s="256">
        <f>AUX!C132</f>
        <v>4.7543639656675083</v>
      </c>
      <c r="D61" s="256">
        <f>AUX!D132</f>
        <v>35.537602868395638</v>
      </c>
      <c r="E61" s="256">
        <f>AUX!E132</f>
        <v>59.708033165936861</v>
      </c>
      <c r="F61" s="418"/>
      <c r="G61" s="418"/>
      <c r="H61" s="418"/>
      <c r="I61" s="418"/>
      <c r="J61" s="418"/>
      <c r="K61" s="418"/>
    </row>
    <row r="62" spans="1:11" ht="15.95" customHeight="1">
      <c r="A62" s="414"/>
      <c r="B62" s="254">
        <f>AUX!A2</f>
        <v>0</v>
      </c>
      <c r="C62" s="257">
        <f>AUX!C134</f>
        <v>0</v>
      </c>
      <c r="D62" s="257">
        <f>AUX!D134</f>
        <v>0</v>
      </c>
      <c r="E62" s="257">
        <f>AUX!E134</f>
        <v>0</v>
      </c>
      <c r="F62" s="414"/>
      <c r="G62" s="414"/>
      <c r="H62" s="414"/>
      <c r="I62" s="414"/>
      <c r="J62" s="414"/>
      <c r="K62" s="414"/>
    </row>
    <row r="63" spans="1:11" ht="15.95" customHeight="1">
      <c r="A63" s="414"/>
      <c r="B63" s="598">
        <f>AUX!A3</f>
        <v>0</v>
      </c>
      <c r="C63" s="258">
        <f>AUX!C136</f>
        <v>0</v>
      </c>
      <c r="D63" s="258">
        <f>AUX!D136</f>
        <v>0</v>
      </c>
      <c r="E63" s="258">
        <f>AUX!E136</f>
        <v>0</v>
      </c>
      <c r="F63" s="414"/>
      <c r="G63" s="414"/>
      <c r="H63" s="414"/>
      <c r="I63" s="414"/>
      <c r="J63" s="414"/>
      <c r="K63" s="414"/>
    </row>
    <row r="64" spans="1:11" ht="20.100000000000001" customHeight="1">
      <c r="A64" s="414"/>
      <c r="B64" s="721" t="s">
        <v>306</v>
      </c>
      <c r="C64" s="722"/>
      <c r="D64" s="722"/>
      <c r="E64" s="723"/>
      <c r="F64" s="414"/>
      <c r="G64" s="414"/>
      <c r="H64" s="414"/>
      <c r="I64" s="414"/>
      <c r="J64" s="414"/>
      <c r="K64" s="414"/>
    </row>
    <row r="65" spans="1:11" ht="15.95" customHeight="1">
      <c r="A65" s="414"/>
      <c r="B65" s="253" t="s">
        <v>16</v>
      </c>
      <c r="C65" s="256">
        <f>AUX!C133</f>
        <v>2.916810834619199</v>
      </c>
      <c r="D65" s="256">
        <f>AUX!D133</f>
        <v>26.874440395426589</v>
      </c>
      <c r="E65" s="256">
        <f>AUX!E133</f>
        <v>70.208748769954212</v>
      </c>
      <c r="F65" s="414"/>
      <c r="G65" s="414"/>
      <c r="H65" s="414"/>
      <c r="I65" s="414"/>
      <c r="J65" s="414"/>
      <c r="K65" s="414"/>
    </row>
    <row r="66" spans="1:11" ht="15.95" customHeight="1">
      <c r="A66" s="414"/>
      <c r="B66" s="254">
        <f>AUX!A2</f>
        <v>0</v>
      </c>
      <c r="C66" s="257">
        <f>AUX!C135</f>
        <v>0</v>
      </c>
      <c r="D66" s="257">
        <f>AUX!D135</f>
        <v>0</v>
      </c>
      <c r="E66" s="257">
        <f>AUX!E135</f>
        <v>0</v>
      </c>
      <c r="F66" s="414"/>
      <c r="G66" s="414"/>
      <c r="H66" s="414"/>
      <c r="I66" s="414"/>
      <c r="J66" s="414"/>
      <c r="K66" s="414"/>
    </row>
    <row r="67" spans="1:11" ht="15.95" customHeight="1">
      <c r="A67" s="414"/>
      <c r="B67" s="598">
        <f>AUX!A3</f>
        <v>0</v>
      </c>
      <c r="C67" s="258">
        <f>AUX!C137</f>
        <v>0</v>
      </c>
      <c r="D67" s="258">
        <f>AUX!D137</f>
        <v>0</v>
      </c>
      <c r="E67" s="258">
        <f>AUX!E137</f>
        <v>0</v>
      </c>
      <c r="F67" s="414"/>
      <c r="G67" s="414"/>
      <c r="H67" s="414"/>
      <c r="I67" s="414"/>
      <c r="J67" s="414"/>
      <c r="K67" s="414"/>
    </row>
    <row r="68" spans="1:11" ht="15" customHeight="1">
      <c r="A68" s="414"/>
      <c r="B68" s="430"/>
      <c r="C68" s="644" t="s">
        <v>690</v>
      </c>
      <c r="D68" s="644"/>
      <c r="E68" s="644"/>
      <c r="F68" s="414"/>
      <c r="G68" s="414"/>
      <c r="H68" s="414"/>
      <c r="I68" s="414"/>
      <c r="J68" s="414"/>
      <c r="K68" s="414"/>
    </row>
    <row r="69" spans="1:11" ht="15" customHeight="1">
      <c r="A69" s="414"/>
      <c r="B69" s="430"/>
      <c r="C69" s="430"/>
      <c r="D69" s="430"/>
      <c r="E69" s="430"/>
      <c r="F69" s="414"/>
      <c r="G69" s="414"/>
      <c r="H69" s="414"/>
      <c r="I69" s="414"/>
      <c r="J69" s="414"/>
      <c r="K69" s="414"/>
    </row>
    <row r="70" spans="1:11" ht="15" customHeight="1">
      <c r="A70" s="414"/>
      <c r="B70" s="430"/>
      <c r="C70" s="430"/>
      <c r="D70" s="430"/>
      <c r="E70" s="430"/>
      <c r="F70" s="414"/>
      <c r="G70" s="414"/>
      <c r="H70" s="414"/>
      <c r="I70" s="414"/>
      <c r="J70" s="414"/>
      <c r="K70" s="414"/>
    </row>
    <row r="71" spans="1:11" ht="15" customHeight="1">
      <c r="A71" s="414"/>
      <c r="B71" s="430"/>
      <c r="C71" s="430"/>
      <c r="D71" s="430"/>
      <c r="E71" s="430"/>
      <c r="F71" s="414"/>
      <c r="G71" s="414"/>
      <c r="H71" s="414"/>
      <c r="I71" s="414"/>
      <c r="J71" s="414"/>
      <c r="K71" s="414"/>
    </row>
    <row r="72" spans="1:11" ht="15" customHeight="1">
      <c r="A72" s="414"/>
      <c r="B72" s="430"/>
      <c r="C72" s="430"/>
      <c r="D72" s="430"/>
      <c r="E72" s="430"/>
      <c r="F72" s="414"/>
      <c r="G72" s="414"/>
      <c r="H72" s="414"/>
      <c r="I72" s="414"/>
      <c r="J72" s="414"/>
      <c r="K72" s="414"/>
    </row>
    <row r="73" spans="1:11" ht="15" customHeight="1">
      <c r="A73" s="414"/>
      <c r="B73" s="430"/>
      <c r="C73" s="430"/>
      <c r="D73" s="430"/>
      <c r="E73" s="430"/>
      <c r="F73" s="414"/>
      <c r="G73" s="414"/>
      <c r="H73" s="414"/>
      <c r="I73" s="414"/>
      <c r="J73" s="414"/>
      <c r="K73" s="414"/>
    </row>
    <row r="74" spans="1:11" ht="15" customHeight="1">
      <c r="A74" s="414"/>
      <c r="B74" s="114" t="s">
        <v>28</v>
      </c>
      <c r="C74" s="421"/>
      <c r="D74" s="421"/>
      <c r="F74" s="414"/>
      <c r="G74" s="414"/>
      <c r="H74" s="655" t="s">
        <v>690</v>
      </c>
      <c r="I74" s="655"/>
      <c r="J74" s="655"/>
      <c r="K74" s="414"/>
    </row>
    <row r="75" spans="1:11" ht="24.95" customHeight="1">
      <c r="A75" s="414"/>
      <c r="B75" s="647"/>
      <c r="C75" s="647"/>
      <c r="D75" s="647"/>
      <c r="E75" s="112"/>
      <c r="G75" s="414"/>
      <c r="H75" s="414"/>
      <c r="I75" s="414"/>
      <c r="J75" s="112"/>
      <c r="K75" s="414"/>
    </row>
    <row r="76" spans="1:11" ht="20.100000000000001" customHeight="1" thickBot="1">
      <c r="A76" s="19"/>
      <c r="B76" s="702" t="s">
        <v>179</v>
      </c>
      <c r="C76" s="702"/>
      <c r="D76" s="702"/>
      <c r="E76" s="702"/>
      <c r="F76" s="702"/>
      <c r="G76" s="702"/>
      <c r="H76" s="702"/>
      <c r="I76" s="702"/>
      <c r="J76" s="702"/>
      <c r="K76" s="19"/>
    </row>
    <row r="77" spans="1:11" ht="9.9499999999999993" customHeight="1">
      <c r="A77" s="19"/>
      <c r="B77" s="19"/>
      <c r="C77" s="19"/>
      <c r="D77" s="19"/>
      <c r="E77" s="19"/>
      <c r="F77" s="19"/>
      <c r="G77" s="19"/>
      <c r="H77" s="19"/>
      <c r="I77" s="19"/>
      <c r="J77" s="19"/>
      <c r="K77" s="19"/>
    </row>
    <row r="78" spans="1:11" ht="15.95" customHeight="1">
      <c r="A78" s="19"/>
      <c r="B78" s="706" t="s">
        <v>488</v>
      </c>
      <c r="C78" s="706"/>
      <c r="D78" s="706"/>
      <c r="E78" s="706"/>
      <c r="F78" s="706"/>
      <c r="G78" s="706"/>
      <c r="H78" s="706"/>
      <c r="I78" s="706"/>
      <c r="J78" s="706"/>
      <c r="K78" s="19"/>
    </row>
    <row r="79" spans="1:11" ht="5.0999999999999996" customHeight="1">
      <c r="A79" s="19"/>
      <c r="B79" s="19"/>
      <c r="C79" s="19"/>
      <c r="D79" s="19"/>
      <c r="E79" s="19"/>
      <c r="F79" s="19"/>
      <c r="G79" s="19"/>
      <c r="H79" s="19"/>
      <c r="I79" s="19"/>
      <c r="J79" s="19"/>
      <c r="K79" s="19"/>
    </row>
    <row r="80" spans="1:11" ht="30" customHeight="1">
      <c r="A80" s="22"/>
      <c r="B80" s="718" t="s">
        <v>8</v>
      </c>
      <c r="C80" s="726" t="s">
        <v>505</v>
      </c>
      <c r="D80" s="727"/>
      <c r="E80" s="728" t="s">
        <v>506</v>
      </c>
      <c r="F80" s="728"/>
      <c r="G80" s="728"/>
      <c r="H80" s="726" t="s">
        <v>507</v>
      </c>
      <c r="I80" s="727"/>
      <c r="J80" s="521"/>
      <c r="K80" s="22"/>
    </row>
    <row r="81" spans="1:24" ht="39.950000000000003" customHeight="1">
      <c r="A81" s="22"/>
      <c r="B81" s="718"/>
      <c r="C81" s="435" t="s">
        <v>489</v>
      </c>
      <c r="D81" s="435" t="s">
        <v>490</v>
      </c>
      <c r="E81" s="192" t="s">
        <v>491</v>
      </c>
      <c r="F81" s="525" t="s">
        <v>492</v>
      </c>
      <c r="G81" s="435" t="s">
        <v>493</v>
      </c>
      <c r="H81" s="192" t="s">
        <v>489</v>
      </c>
      <c r="I81" s="435" t="s">
        <v>492</v>
      </c>
      <c r="J81" s="522"/>
      <c r="K81" s="22"/>
    </row>
    <row r="82" spans="1:24" ht="18" customHeight="1">
      <c r="A82" s="22"/>
      <c r="B82" s="36" t="s">
        <v>16</v>
      </c>
      <c r="C82" s="236">
        <f>AUX!B141</f>
        <v>385836</v>
      </c>
      <c r="D82" s="124">
        <f>AUX!C141</f>
        <v>45.237319886119991</v>
      </c>
      <c r="E82" s="229">
        <f>AUX!D141</f>
        <v>2901720</v>
      </c>
      <c r="F82" s="239">
        <f>AUX!E141</f>
        <v>340.88678353562369</v>
      </c>
      <c r="G82" s="228">
        <f>AUX!F141</f>
        <v>4697.9250237790002</v>
      </c>
      <c r="H82" s="236">
        <f>AUX!G141</f>
        <v>316112</v>
      </c>
      <c r="I82" s="518">
        <f>AUX!H141</f>
        <v>37.062533469767367</v>
      </c>
      <c r="J82" s="523"/>
      <c r="K82" s="22"/>
      <c r="M82" s="23"/>
      <c r="N82" s="23"/>
      <c r="O82" s="23"/>
      <c r="P82" s="23"/>
      <c r="Q82" s="23"/>
      <c r="R82" s="23"/>
      <c r="S82" s="23"/>
      <c r="T82" s="23"/>
      <c r="U82" s="23"/>
      <c r="V82" s="23"/>
      <c r="W82" s="23"/>
      <c r="X82" s="23"/>
    </row>
    <row r="83" spans="1:24" ht="18" customHeight="1">
      <c r="A83" s="22"/>
      <c r="B83" s="126">
        <f>AUX!A2</f>
        <v>0</v>
      </c>
      <c r="C83" s="237">
        <f>AUX!B142</f>
        <v>0</v>
      </c>
      <c r="D83" s="127">
        <f>AUX!C142</f>
        <v>0</v>
      </c>
      <c r="E83" s="232">
        <f>AUX!D142</f>
        <v>0</v>
      </c>
      <c r="F83" s="240">
        <f>AUX!E142</f>
        <v>0</v>
      </c>
      <c r="G83" s="230">
        <f>AUX!F142</f>
        <v>0</v>
      </c>
      <c r="H83" s="237">
        <f>AUX!G142</f>
        <v>0</v>
      </c>
      <c r="I83" s="519">
        <f>AUX!H142</f>
        <v>0</v>
      </c>
      <c r="J83" s="523"/>
      <c r="K83" s="22"/>
      <c r="M83" s="23"/>
      <c r="N83" s="23"/>
      <c r="O83" s="23"/>
      <c r="P83" s="23"/>
      <c r="Q83" s="23"/>
      <c r="R83" s="23"/>
      <c r="S83" s="23"/>
      <c r="T83" s="23"/>
      <c r="U83" s="23"/>
      <c r="V83" s="23"/>
      <c r="W83" s="23"/>
      <c r="X83" s="23"/>
    </row>
    <row r="84" spans="1:24" ht="15.95" customHeight="1">
      <c r="A84" s="22"/>
      <c r="B84" s="599">
        <f>AUX!A3</f>
        <v>0</v>
      </c>
      <c r="C84" s="238">
        <f>AUX!B143</f>
        <v>0</v>
      </c>
      <c r="D84" s="125">
        <f>AUX!C143</f>
        <v>0</v>
      </c>
      <c r="E84" s="233">
        <f>AUX!D143</f>
        <v>0</v>
      </c>
      <c r="F84" s="241">
        <f>AUX!E143</f>
        <v>0</v>
      </c>
      <c r="G84" s="231">
        <f>AUX!F143</f>
        <v>0</v>
      </c>
      <c r="H84" s="238">
        <f>AUX!G143</f>
        <v>0</v>
      </c>
      <c r="I84" s="520">
        <f>AUX!H143</f>
        <v>0</v>
      </c>
      <c r="J84" s="524"/>
      <c r="K84" s="22"/>
      <c r="M84" s="23"/>
      <c r="N84" s="23"/>
      <c r="O84" s="23"/>
      <c r="P84" s="23"/>
      <c r="Q84" s="23"/>
      <c r="R84" s="23"/>
      <c r="S84" s="23"/>
      <c r="T84" s="23"/>
      <c r="U84" s="23"/>
      <c r="V84" s="23"/>
      <c r="W84" s="23"/>
      <c r="X84" s="23"/>
    </row>
    <row r="85" spans="1:24" ht="14.1" customHeight="1">
      <c r="A85" s="176"/>
      <c r="B85" s="725"/>
      <c r="C85" s="725"/>
      <c r="D85" s="725"/>
      <c r="E85" s="725"/>
      <c r="F85" s="651" t="s">
        <v>695</v>
      </c>
      <c r="G85" s="651"/>
      <c r="H85" s="651"/>
      <c r="I85" s="651"/>
      <c r="K85" s="176"/>
    </row>
    <row r="86" spans="1:24" ht="15" customHeight="1">
      <c r="A86" s="222"/>
      <c r="B86" s="222"/>
      <c r="C86" s="222"/>
      <c r="D86" s="222"/>
      <c r="E86" s="222"/>
      <c r="F86" s="222"/>
      <c r="G86" s="222"/>
      <c r="H86" s="222"/>
      <c r="I86" s="222"/>
      <c r="J86" s="222"/>
      <c r="K86" s="222"/>
    </row>
    <row r="87" spans="1:24" ht="26.1" customHeight="1">
      <c r="A87" s="222"/>
      <c r="B87" s="703" t="s">
        <v>464</v>
      </c>
      <c r="C87" s="703"/>
      <c r="D87" s="703"/>
      <c r="E87" s="703"/>
      <c r="F87" s="704" t="s">
        <v>465</v>
      </c>
      <c r="G87" s="704"/>
      <c r="H87" s="704"/>
      <c r="I87" s="704"/>
      <c r="J87" s="704"/>
      <c r="K87" s="222"/>
    </row>
    <row r="88" spans="1:24" ht="5.0999999999999996" customHeight="1">
      <c r="A88" s="222"/>
      <c r="B88" s="222"/>
      <c r="C88" s="222"/>
      <c r="D88" s="222"/>
      <c r="E88" s="222"/>
      <c r="F88" s="222"/>
      <c r="G88" s="222"/>
      <c r="H88" s="222"/>
      <c r="I88" s="222"/>
      <c r="J88" s="222"/>
      <c r="K88" s="222"/>
    </row>
    <row r="89" spans="1:24" ht="15" customHeight="1">
      <c r="A89" s="222"/>
      <c r="B89" s="222"/>
      <c r="C89" s="222"/>
      <c r="D89" s="222"/>
      <c r="E89" s="222"/>
      <c r="F89" s="222"/>
      <c r="G89" s="222"/>
      <c r="H89" s="222"/>
      <c r="I89" s="222"/>
      <c r="J89" s="222"/>
      <c r="K89" s="222"/>
    </row>
    <row r="90" spans="1:24" ht="15" customHeight="1">
      <c r="A90" s="222"/>
      <c r="B90" s="222"/>
      <c r="C90" s="222"/>
      <c r="D90" s="222"/>
      <c r="E90" s="222"/>
      <c r="F90" s="222"/>
      <c r="G90" s="222"/>
      <c r="H90" s="222"/>
      <c r="I90" s="222"/>
      <c r="J90" s="222"/>
      <c r="K90" s="222"/>
    </row>
    <row r="91" spans="1:24" ht="15" customHeight="1">
      <c r="A91" s="222"/>
      <c r="B91" s="222"/>
      <c r="C91" s="222"/>
      <c r="D91" s="222"/>
      <c r="E91" s="222"/>
      <c r="F91" s="222"/>
      <c r="G91" s="222"/>
      <c r="H91" s="222"/>
      <c r="I91" s="222"/>
      <c r="J91" s="222"/>
      <c r="K91" s="222"/>
    </row>
    <row r="92" spans="1:24" ht="15" customHeight="1">
      <c r="A92" s="222"/>
      <c r="B92" s="222"/>
      <c r="C92" s="222"/>
      <c r="D92" s="222"/>
      <c r="E92" s="222"/>
      <c r="F92" s="222"/>
      <c r="G92" s="222"/>
      <c r="H92" s="222"/>
      <c r="I92" s="222"/>
      <c r="J92" s="222"/>
      <c r="K92" s="222"/>
    </row>
    <row r="93" spans="1:24" ht="15" customHeight="1">
      <c r="A93" s="222"/>
      <c r="B93" s="222"/>
      <c r="C93" s="222"/>
      <c r="D93" s="222"/>
      <c r="E93" s="222"/>
      <c r="F93" s="222"/>
      <c r="G93" s="222"/>
      <c r="H93" s="222"/>
      <c r="I93" s="222"/>
      <c r="J93" s="222"/>
      <c r="K93" s="222"/>
    </row>
    <row r="94" spans="1:24" ht="15" customHeight="1">
      <c r="A94" s="222"/>
      <c r="B94" s="222"/>
      <c r="C94" s="222"/>
      <c r="D94" s="222"/>
      <c r="E94" s="222"/>
      <c r="F94" s="222"/>
      <c r="G94" s="222"/>
      <c r="H94" s="222"/>
      <c r="I94" s="222"/>
      <c r="J94" s="222"/>
      <c r="K94" s="222"/>
    </row>
    <row r="95" spans="1:24" ht="15" customHeight="1">
      <c r="A95" s="222"/>
      <c r="B95" s="222"/>
      <c r="C95" s="222"/>
      <c r="D95" s="222"/>
      <c r="E95" s="222"/>
      <c r="F95" s="222"/>
      <c r="G95" s="222"/>
      <c r="H95" s="222"/>
      <c r="I95" s="222"/>
      <c r="J95" s="222"/>
      <c r="K95" s="222"/>
    </row>
    <row r="96" spans="1:24" ht="15" customHeight="1">
      <c r="A96" s="222"/>
      <c r="B96" s="222"/>
      <c r="C96" s="222"/>
      <c r="D96" s="222"/>
      <c r="E96" s="222"/>
      <c r="F96" s="222"/>
      <c r="G96" s="222"/>
      <c r="H96" s="222"/>
      <c r="I96" s="222"/>
      <c r="J96" s="222"/>
      <c r="K96" s="222"/>
    </row>
    <row r="97" spans="1:24" ht="15" customHeight="1">
      <c r="A97" s="222"/>
      <c r="B97" s="222"/>
      <c r="C97" s="222"/>
      <c r="D97" s="222"/>
      <c r="E97" s="222"/>
      <c r="F97" s="222"/>
      <c r="G97" s="222"/>
      <c r="H97" s="222"/>
      <c r="I97" s="222"/>
      <c r="J97" s="222"/>
      <c r="K97" s="222"/>
    </row>
    <row r="98" spans="1:24" ht="15" customHeight="1">
      <c r="A98" s="222"/>
      <c r="B98" s="222"/>
      <c r="C98" s="222"/>
      <c r="D98" s="222"/>
      <c r="E98" s="222"/>
      <c r="F98" s="222"/>
      <c r="G98" s="222"/>
      <c r="H98" s="222"/>
      <c r="I98" s="222"/>
      <c r="J98" s="222"/>
      <c r="K98" s="222"/>
    </row>
    <row r="99" spans="1:24" ht="15" customHeight="1">
      <c r="A99" s="222"/>
      <c r="B99" s="222"/>
      <c r="C99" s="222"/>
      <c r="D99" s="222"/>
      <c r="E99" s="222"/>
      <c r="F99" s="222"/>
      <c r="G99" s="222"/>
      <c r="H99" s="222"/>
      <c r="I99" s="222"/>
      <c r="J99" s="222"/>
      <c r="K99" s="222"/>
    </row>
    <row r="100" spans="1:24" ht="15" customHeight="1">
      <c r="A100" s="222"/>
      <c r="B100" s="222"/>
      <c r="C100" s="222"/>
      <c r="D100" s="222"/>
      <c r="E100" s="222"/>
      <c r="F100" s="222"/>
      <c r="G100" s="222"/>
      <c r="H100" s="222"/>
      <c r="I100" s="222"/>
      <c r="J100" s="222"/>
      <c r="K100" s="222"/>
    </row>
    <row r="101" spans="1:24" ht="15" customHeight="1">
      <c r="A101" s="222"/>
      <c r="B101" s="222"/>
      <c r="C101" s="222"/>
      <c r="D101" s="222"/>
      <c r="E101" s="222"/>
      <c r="F101" s="222"/>
      <c r="G101" s="222"/>
      <c r="H101" s="222"/>
      <c r="I101" s="222"/>
      <c r="J101" s="222"/>
      <c r="K101" s="222"/>
    </row>
    <row r="102" spans="1:24" ht="9.9499999999999993" customHeight="1">
      <c r="A102" s="222"/>
      <c r="B102" s="222"/>
      <c r="C102" s="222"/>
      <c r="D102" s="222"/>
      <c r="E102" s="222"/>
      <c r="F102" s="222"/>
      <c r="G102" s="222"/>
      <c r="H102" s="222"/>
      <c r="I102" s="222"/>
      <c r="J102" s="222"/>
      <c r="K102" s="222"/>
    </row>
    <row r="103" spans="1:24" ht="15" customHeight="1">
      <c r="A103" s="222"/>
      <c r="B103" s="222"/>
      <c r="C103" s="655" t="s">
        <v>690</v>
      </c>
      <c r="D103" s="655"/>
      <c r="E103" s="655"/>
      <c r="F103" s="222"/>
      <c r="G103" s="222"/>
      <c r="H103" s="655" t="s">
        <v>690</v>
      </c>
      <c r="I103" s="655"/>
      <c r="J103" s="655"/>
      <c r="K103" s="222"/>
    </row>
    <row r="104" spans="1:24">
      <c r="A104" s="176"/>
      <c r="B104" s="114" t="s">
        <v>28</v>
      </c>
      <c r="C104" s="176"/>
      <c r="D104" s="176"/>
      <c r="E104" s="176"/>
      <c r="F104" s="176"/>
      <c r="G104" s="176"/>
      <c r="H104" s="176"/>
      <c r="I104" s="176"/>
      <c r="J104" s="176"/>
      <c r="K104" s="176"/>
    </row>
    <row r="105" spans="1:24" ht="20.100000000000001" customHeight="1">
      <c r="A105" s="19"/>
      <c r="B105" s="19"/>
      <c r="C105" s="19"/>
      <c r="D105" s="19"/>
      <c r="E105" s="19"/>
      <c r="F105" s="19"/>
      <c r="G105" s="19"/>
      <c r="H105" s="19"/>
      <c r="I105" s="19"/>
      <c r="J105" s="19"/>
      <c r="K105" s="19"/>
    </row>
    <row r="106" spans="1:24" ht="20.100000000000001" customHeight="1" thickBot="1">
      <c r="A106" s="222"/>
      <c r="B106" s="702" t="s">
        <v>181</v>
      </c>
      <c r="C106" s="702"/>
      <c r="D106" s="702"/>
      <c r="E106" s="702"/>
      <c r="F106" s="702"/>
      <c r="G106" s="702"/>
      <c r="H106" s="702"/>
      <c r="I106" s="702"/>
      <c r="J106" s="702"/>
      <c r="K106" s="222"/>
    </row>
    <row r="107" spans="1:24" ht="9.9499999999999993" customHeight="1">
      <c r="A107" s="222"/>
      <c r="B107" s="222"/>
      <c r="C107" s="222"/>
      <c r="D107" s="222"/>
      <c r="E107" s="222"/>
      <c r="F107" s="222"/>
      <c r="G107" s="222"/>
      <c r="H107" s="222"/>
      <c r="I107" s="222"/>
      <c r="J107" s="222"/>
      <c r="K107" s="222"/>
    </row>
    <row r="108" spans="1:24" ht="26.1" customHeight="1">
      <c r="A108" s="222"/>
      <c r="B108" s="706" t="s">
        <v>314</v>
      </c>
      <c r="C108" s="706"/>
      <c r="D108" s="706"/>
      <c r="E108" s="706"/>
      <c r="F108" s="704" t="s">
        <v>311</v>
      </c>
      <c r="G108" s="704"/>
      <c r="H108" s="704"/>
      <c r="I108" s="704"/>
      <c r="J108" s="704"/>
      <c r="K108" s="222"/>
    </row>
    <row r="109" spans="1:24" ht="5.0999999999999996" customHeight="1">
      <c r="A109" s="222"/>
      <c r="B109" s="222"/>
      <c r="C109" s="222"/>
      <c r="D109" s="222"/>
      <c r="E109" s="222"/>
      <c r="F109" s="222"/>
      <c r="G109" s="222"/>
      <c r="H109" s="222"/>
      <c r="I109" s="222"/>
      <c r="J109" s="222"/>
      <c r="K109" s="222"/>
    </row>
    <row r="110" spans="1:24" ht="18" customHeight="1">
      <c r="A110" s="22"/>
      <c r="B110" s="223" t="s">
        <v>8</v>
      </c>
      <c r="C110" s="251">
        <v>1998</v>
      </c>
      <c r="D110" s="251">
        <v>2005</v>
      </c>
      <c r="E110" s="251">
        <v>2012</v>
      </c>
      <c r="F110" s="242"/>
      <c r="G110" s="242"/>
      <c r="H110" s="242"/>
      <c r="I110" s="242"/>
      <c r="J110" s="242"/>
      <c r="K110" s="22"/>
    </row>
    <row r="111" spans="1:24" ht="15.95" customHeight="1">
      <c r="A111" s="22"/>
      <c r="B111" s="724" t="s">
        <v>182</v>
      </c>
      <c r="C111" s="724"/>
      <c r="D111" s="724"/>
      <c r="E111" s="724"/>
      <c r="F111" s="243"/>
      <c r="G111" s="244"/>
      <c r="H111" s="245"/>
      <c r="I111" s="246"/>
      <c r="J111" s="245"/>
      <c r="K111" s="22"/>
      <c r="M111" s="23"/>
      <c r="N111" s="23"/>
      <c r="O111" s="23"/>
      <c r="P111" s="23"/>
      <c r="Q111" s="23"/>
      <c r="R111" s="23"/>
      <c r="S111" s="23"/>
      <c r="T111" s="23"/>
      <c r="U111" s="23"/>
      <c r="V111" s="23"/>
      <c r="W111" s="23"/>
      <c r="X111" s="23"/>
    </row>
    <row r="112" spans="1:24" ht="14.1" customHeight="1">
      <c r="A112" s="22"/>
      <c r="B112" s="253" t="s">
        <v>16</v>
      </c>
      <c r="C112" s="256">
        <f>AUX!B159</f>
        <v>33.186267953026743</v>
      </c>
      <c r="D112" s="256">
        <f>AUX!I159</f>
        <v>36.508110015725045</v>
      </c>
      <c r="E112" s="256">
        <f>AUX!P159</f>
        <v>37.299297589801945</v>
      </c>
      <c r="F112" s="243"/>
      <c r="G112" s="244"/>
      <c r="H112" s="245"/>
      <c r="I112" s="246"/>
      <c r="J112" s="245"/>
      <c r="K112" s="22"/>
      <c r="M112" s="23"/>
      <c r="N112" s="23"/>
      <c r="O112" s="23"/>
      <c r="P112" s="23"/>
      <c r="Q112" s="23"/>
      <c r="R112" s="23"/>
      <c r="S112" s="23"/>
      <c r="T112" s="23"/>
      <c r="U112" s="23"/>
      <c r="V112" s="23"/>
      <c r="W112" s="23"/>
      <c r="X112" s="23"/>
    </row>
    <row r="113" spans="1:24" ht="14.1" customHeight="1">
      <c r="A113" s="22"/>
      <c r="B113" s="254">
        <f>AUX!A2</f>
        <v>0</v>
      </c>
      <c r="C113" s="257">
        <f>AUX!B160</f>
        <v>0</v>
      </c>
      <c r="D113" s="257">
        <f>AUX!I160</f>
        <v>0</v>
      </c>
      <c r="E113" s="257">
        <f>AUX!P160</f>
        <v>0</v>
      </c>
      <c r="F113" s="243"/>
      <c r="G113" s="244"/>
      <c r="H113" s="245"/>
      <c r="I113" s="246"/>
      <c r="J113" s="245"/>
      <c r="K113" s="22"/>
      <c r="M113" s="23"/>
      <c r="N113" s="23"/>
      <c r="O113" s="23"/>
      <c r="P113" s="23"/>
      <c r="Q113" s="23"/>
      <c r="R113" s="23"/>
      <c r="S113" s="23"/>
      <c r="T113" s="23"/>
      <c r="U113" s="23"/>
      <c r="V113" s="23"/>
      <c r="W113" s="23"/>
      <c r="X113" s="23"/>
    </row>
    <row r="114" spans="1:24" ht="14.1" customHeight="1">
      <c r="A114" s="22"/>
      <c r="B114" s="598">
        <f>AUX!A3</f>
        <v>0</v>
      </c>
      <c r="C114" s="258">
        <f>AUX!B161</f>
        <v>0</v>
      </c>
      <c r="D114" s="258">
        <f>AUX!I161</f>
        <v>0</v>
      </c>
      <c r="E114" s="258">
        <f>AUX!P161</f>
        <v>0</v>
      </c>
      <c r="F114" s="247"/>
      <c r="G114" s="248"/>
      <c r="H114" s="249"/>
      <c r="I114" s="250"/>
      <c r="J114" s="249"/>
      <c r="K114" s="22"/>
      <c r="M114" s="23"/>
      <c r="N114" s="23"/>
      <c r="O114" s="23"/>
      <c r="P114" s="23"/>
      <c r="Q114" s="23"/>
      <c r="R114" s="23"/>
      <c r="S114" s="23"/>
      <c r="T114" s="23"/>
      <c r="U114" s="23"/>
      <c r="V114" s="23"/>
      <c r="W114" s="23"/>
      <c r="X114" s="23"/>
    </row>
    <row r="115" spans="1:24" ht="15.95" customHeight="1">
      <c r="A115" s="22"/>
      <c r="B115" s="721" t="s">
        <v>183</v>
      </c>
      <c r="C115" s="722"/>
      <c r="D115" s="722"/>
      <c r="E115" s="723"/>
      <c r="F115" s="243"/>
      <c r="G115" s="244"/>
      <c r="H115" s="245"/>
      <c r="I115" s="246"/>
      <c r="J115" s="245"/>
      <c r="K115" s="22"/>
      <c r="M115" s="23"/>
      <c r="N115" s="23"/>
      <c r="O115" s="23"/>
      <c r="P115" s="23"/>
      <c r="Q115" s="23"/>
      <c r="R115" s="23"/>
      <c r="S115" s="23"/>
      <c r="T115" s="23"/>
      <c r="U115" s="23"/>
      <c r="V115" s="23"/>
      <c r="W115" s="23"/>
      <c r="X115" s="23"/>
    </row>
    <row r="116" spans="1:24" ht="14.1" customHeight="1">
      <c r="A116" s="22"/>
      <c r="B116" s="253" t="s">
        <v>16</v>
      </c>
      <c r="C116" s="256">
        <f>AUX!B165</f>
        <v>4.9892821715910234</v>
      </c>
      <c r="D116" s="256">
        <f>AUX!I165</f>
        <v>5.2191381962986112</v>
      </c>
      <c r="E116" s="256">
        <f>AUX!P165</f>
        <v>5.1871759445481151</v>
      </c>
      <c r="F116" s="243"/>
      <c r="G116" s="244"/>
      <c r="H116" s="245"/>
      <c r="I116" s="246"/>
      <c r="J116" s="245"/>
      <c r="K116" s="22"/>
      <c r="M116" s="23"/>
      <c r="N116" s="23"/>
      <c r="O116" s="23"/>
      <c r="P116" s="23"/>
      <c r="Q116" s="23"/>
      <c r="R116" s="23"/>
      <c r="S116" s="23"/>
      <c r="T116" s="23"/>
      <c r="U116" s="23"/>
      <c r="V116" s="23"/>
      <c r="W116" s="23"/>
      <c r="X116" s="23"/>
    </row>
    <row r="117" spans="1:24" ht="14.1" customHeight="1">
      <c r="A117" s="22"/>
      <c r="B117" s="254">
        <f>AUX!A2</f>
        <v>0</v>
      </c>
      <c r="C117" s="257">
        <f>AUX!B166</f>
        <v>0</v>
      </c>
      <c r="D117" s="257">
        <f>AUX!I166</f>
        <v>0</v>
      </c>
      <c r="E117" s="257">
        <f>AUX!P166</f>
        <v>0</v>
      </c>
      <c r="F117" s="243"/>
      <c r="G117" s="244"/>
      <c r="H117" s="245"/>
      <c r="I117" s="246"/>
      <c r="J117" s="245"/>
      <c r="K117" s="22"/>
      <c r="M117" s="23"/>
      <c r="N117" s="23"/>
      <c r="O117" s="23"/>
      <c r="P117" s="23"/>
      <c r="Q117" s="23"/>
      <c r="R117" s="23"/>
      <c r="S117" s="23"/>
      <c r="T117" s="23"/>
      <c r="U117" s="23"/>
      <c r="V117" s="23"/>
      <c r="W117" s="23"/>
      <c r="X117" s="23"/>
    </row>
    <row r="118" spans="1:24" ht="14.1" customHeight="1">
      <c r="A118" s="22"/>
      <c r="B118" s="598">
        <f>AUX!A3</f>
        <v>0</v>
      </c>
      <c r="C118" s="258">
        <f>AUX!B167</f>
        <v>0</v>
      </c>
      <c r="D118" s="258">
        <f>AUX!I167</f>
        <v>0</v>
      </c>
      <c r="E118" s="258">
        <f>AUX!P167</f>
        <v>0</v>
      </c>
      <c r="F118" s="247"/>
      <c r="G118" s="248"/>
      <c r="H118" s="249"/>
      <c r="I118" s="250"/>
      <c r="J118" s="249"/>
      <c r="K118" s="22"/>
      <c r="M118" s="23"/>
      <c r="N118" s="23"/>
      <c r="O118" s="23"/>
      <c r="P118" s="23"/>
      <c r="Q118" s="23"/>
      <c r="R118" s="23"/>
      <c r="S118" s="23"/>
      <c r="T118" s="23"/>
      <c r="U118" s="23"/>
      <c r="V118" s="23"/>
      <c r="W118" s="23"/>
      <c r="X118" s="23"/>
    </row>
    <row r="119" spans="1:24" ht="15.95" customHeight="1">
      <c r="A119" s="22"/>
      <c r="B119" s="721" t="s">
        <v>557</v>
      </c>
      <c r="C119" s="722"/>
      <c r="D119" s="722"/>
      <c r="E119" s="723"/>
      <c r="F119" s="243"/>
      <c r="G119" s="244"/>
      <c r="H119" s="245"/>
      <c r="I119" s="246"/>
      <c r="J119" s="245"/>
      <c r="K119" s="22"/>
      <c r="M119" s="23"/>
      <c r="N119" s="23"/>
      <c r="O119" s="23"/>
      <c r="P119" s="23"/>
      <c r="Q119" s="23"/>
      <c r="R119" s="23"/>
      <c r="S119" s="23"/>
      <c r="T119" s="23"/>
      <c r="U119" s="23"/>
      <c r="V119" s="23"/>
      <c r="W119" s="23"/>
      <c r="X119" s="23"/>
    </row>
    <row r="120" spans="1:24" ht="14.1" customHeight="1">
      <c r="A120" s="22"/>
      <c r="B120" s="253" t="s">
        <v>16</v>
      </c>
      <c r="C120" s="256">
        <f>AUX!B171</f>
        <v>1.1615685020538793</v>
      </c>
      <c r="D120" s="256">
        <f>AUX!I171</f>
        <v>1.8209262725661515</v>
      </c>
      <c r="E120" s="256">
        <f>AUX!P171</f>
        <v>2.1262469793214129</v>
      </c>
      <c r="F120" s="243"/>
      <c r="G120" s="244"/>
      <c r="H120" s="245"/>
      <c r="I120" s="246"/>
      <c r="J120" s="245"/>
      <c r="K120" s="22"/>
      <c r="M120" s="23"/>
      <c r="N120" s="23"/>
      <c r="O120" s="23"/>
      <c r="P120" s="23"/>
      <c r="Q120" s="23"/>
      <c r="R120" s="23"/>
      <c r="S120" s="23"/>
      <c r="T120" s="23"/>
      <c r="U120" s="23"/>
      <c r="V120" s="23"/>
      <c r="W120" s="23"/>
      <c r="X120" s="23"/>
    </row>
    <row r="121" spans="1:24" ht="14.1" customHeight="1">
      <c r="A121" s="22"/>
      <c r="B121" s="254">
        <f>AUX!A2</f>
        <v>0</v>
      </c>
      <c r="C121" s="257">
        <f>AUX!B172</f>
        <v>0</v>
      </c>
      <c r="D121" s="257">
        <f>AUX!I172</f>
        <v>0</v>
      </c>
      <c r="E121" s="257">
        <f>AUX!P172</f>
        <v>0</v>
      </c>
      <c r="F121" s="243"/>
      <c r="G121" s="244"/>
      <c r="H121" s="245"/>
      <c r="I121" s="246"/>
      <c r="J121" s="245"/>
      <c r="K121" s="22"/>
      <c r="M121" s="23"/>
      <c r="N121" s="23"/>
      <c r="O121" s="23"/>
      <c r="P121" s="23"/>
      <c r="Q121" s="23"/>
      <c r="R121" s="23"/>
      <c r="S121" s="23"/>
      <c r="T121" s="23"/>
      <c r="U121" s="23"/>
      <c r="V121" s="23"/>
      <c r="W121" s="23"/>
      <c r="X121" s="23"/>
    </row>
    <row r="122" spans="1:24" ht="14.1" customHeight="1">
      <c r="A122" s="22"/>
      <c r="B122" s="598">
        <f>AUX!A3</f>
        <v>0</v>
      </c>
      <c r="C122" s="258">
        <f>AUX!B173</f>
        <v>0</v>
      </c>
      <c r="D122" s="258">
        <f>AUX!I173</f>
        <v>0</v>
      </c>
      <c r="E122" s="258">
        <f>AUX!P173</f>
        <v>0</v>
      </c>
      <c r="F122" s="247"/>
      <c r="G122" s="248"/>
      <c r="H122" s="249"/>
      <c r="I122" s="250"/>
      <c r="J122" s="249"/>
      <c r="K122" s="22"/>
      <c r="M122" s="23"/>
      <c r="N122" s="23"/>
      <c r="O122" s="23"/>
      <c r="P122" s="23"/>
      <c r="Q122" s="23"/>
      <c r="R122" s="23"/>
      <c r="S122" s="23"/>
      <c r="T122" s="23"/>
      <c r="U122" s="23"/>
      <c r="V122" s="23"/>
      <c r="W122" s="23"/>
      <c r="X122" s="23"/>
    </row>
    <row r="123" spans="1:24" ht="15" customHeight="1">
      <c r="A123" s="222"/>
      <c r="B123" s="255"/>
      <c r="C123" s="655" t="s">
        <v>696</v>
      </c>
      <c r="D123" s="655"/>
      <c r="E123" s="655"/>
      <c r="F123" s="24"/>
      <c r="G123" s="24"/>
      <c r="H123" s="24"/>
      <c r="I123" s="24"/>
      <c r="J123" s="224"/>
      <c r="K123" s="222"/>
    </row>
    <row r="124" spans="1:24" ht="15" customHeight="1">
      <c r="A124" s="222"/>
      <c r="B124" s="222"/>
      <c r="C124" s="222"/>
      <c r="D124" s="222"/>
      <c r="E124" s="222"/>
      <c r="F124" s="222"/>
      <c r="G124" s="222"/>
      <c r="H124" s="222"/>
      <c r="I124" s="222"/>
      <c r="J124" s="222"/>
      <c r="K124" s="222"/>
    </row>
    <row r="125" spans="1:24">
      <c r="A125" s="222"/>
      <c r="B125" s="114" t="s">
        <v>28</v>
      </c>
      <c r="C125" s="222"/>
      <c r="D125" s="222"/>
      <c r="E125" s="222"/>
      <c r="F125" s="222"/>
      <c r="G125" s="222"/>
      <c r="H125" s="643" t="s">
        <v>690</v>
      </c>
      <c r="I125" s="643"/>
      <c r="J125" s="643"/>
      <c r="K125" s="222"/>
    </row>
    <row r="126" spans="1:24" ht="20.100000000000001" customHeight="1">
      <c r="A126" s="222"/>
      <c r="B126" s="222"/>
      <c r="C126" s="222"/>
      <c r="D126" s="222"/>
      <c r="E126" s="222"/>
      <c r="F126" s="222"/>
      <c r="G126" s="222"/>
      <c r="H126" s="222"/>
      <c r="I126" s="222"/>
      <c r="J126" s="222"/>
      <c r="K126" s="222"/>
    </row>
    <row r="127" spans="1:24" ht="20.100000000000001" customHeight="1" thickBot="1">
      <c r="A127" s="19"/>
      <c r="B127" s="702" t="s">
        <v>66</v>
      </c>
      <c r="C127" s="702"/>
      <c r="D127" s="702"/>
      <c r="E127" s="702"/>
      <c r="F127" s="702"/>
      <c r="G127" s="702"/>
      <c r="H127" s="702"/>
      <c r="I127" s="702"/>
      <c r="J127" s="702"/>
      <c r="K127" s="19"/>
    </row>
    <row r="128" spans="1:24" ht="9.9499999999999993" customHeight="1">
      <c r="A128" s="19"/>
      <c r="B128" s="19"/>
      <c r="C128" s="19"/>
      <c r="D128" s="19"/>
      <c r="E128" s="19"/>
      <c r="F128" s="19"/>
      <c r="G128" s="19"/>
      <c r="H128" s="19"/>
      <c r="I128" s="19"/>
      <c r="J128" s="19"/>
      <c r="K128" s="19"/>
    </row>
    <row r="129" spans="1:11" ht="27.95" customHeight="1">
      <c r="A129" s="19"/>
      <c r="B129" s="703" t="s">
        <v>317</v>
      </c>
      <c r="C129" s="703"/>
      <c r="D129" s="703"/>
      <c r="E129" s="703"/>
      <c r="F129" s="703"/>
      <c r="G129" s="704" t="s">
        <v>496</v>
      </c>
      <c r="H129" s="704"/>
      <c r="I129" s="704"/>
      <c r="J129" s="704"/>
      <c r="K129" s="19"/>
    </row>
    <row r="130" spans="1:11" ht="5.0999999999999996" customHeight="1">
      <c r="A130" s="19"/>
      <c r="B130" s="19"/>
      <c r="C130" s="19"/>
      <c r="D130" s="19"/>
      <c r="E130" s="19"/>
      <c r="F130" s="19"/>
      <c r="G130" s="19"/>
      <c r="H130" s="19"/>
      <c r="I130" s="19"/>
      <c r="J130" s="19"/>
      <c r="K130" s="19"/>
    </row>
    <row r="131" spans="1:11" ht="18" customHeight="1">
      <c r="A131" s="19"/>
      <c r="B131" s="709" t="s">
        <v>8</v>
      </c>
      <c r="C131" s="707" t="s">
        <v>316</v>
      </c>
      <c r="D131" s="708"/>
      <c r="E131" s="707" t="s">
        <v>266</v>
      </c>
      <c r="F131" s="708"/>
      <c r="G131" s="19"/>
      <c r="H131" s="19"/>
      <c r="I131" s="19"/>
      <c r="J131" s="19"/>
      <c r="K131" s="19"/>
    </row>
    <row r="132" spans="1:11" ht="15" customHeight="1">
      <c r="A132" s="19"/>
      <c r="B132" s="710"/>
      <c r="C132" s="128">
        <v>2001</v>
      </c>
      <c r="D132" s="128">
        <v>2011</v>
      </c>
      <c r="E132" s="128">
        <v>2001</v>
      </c>
      <c r="F132" s="432">
        <v>2011</v>
      </c>
      <c r="G132" s="19"/>
      <c r="H132" s="19"/>
      <c r="I132" s="19"/>
      <c r="J132" s="19"/>
      <c r="K132" s="19"/>
    </row>
    <row r="133" spans="1:11" ht="15" customHeight="1">
      <c r="A133" s="19"/>
      <c r="B133" s="440" t="s">
        <v>16</v>
      </c>
      <c r="C133" s="256">
        <f>AUX!B186</f>
        <v>2.71</v>
      </c>
      <c r="D133" s="256">
        <f>AUX!C186</f>
        <v>1.58</v>
      </c>
      <c r="E133" s="256">
        <f>AUX!D186</f>
        <v>8.93</v>
      </c>
      <c r="F133" s="256">
        <f>AUX!E186</f>
        <v>5.2</v>
      </c>
      <c r="G133" s="19"/>
      <c r="H133" s="19"/>
      <c r="I133" s="19"/>
      <c r="J133" s="19"/>
      <c r="K133" s="19"/>
    </row>
    <row r="134" spans="1:11" ht="15" customHeight="1">
      <c r="A134" s="19"/>
      <c r="B134" s="126">
        <f>AUX!A2</f>
        <v>0</v>
      </c>
      <c r="C134" s="240" t="str">
        <f>IF(AUX!B187="","",AUX!B187)</f>
        <v/>
      </c>
      <c r="D134" s="240" t="str">
        <f>IF(AUX!C187="","",AUX!C187)</f>
        <v/>
      </c>
      <c r="E134" s="240" t="str">
        <f>IF(AUX!D187="","",AUX!D187)</f>
        <v/>
      </c>
      <c r="F134" s="240" t="str">
        <f>IF(AUX!E187="","",AUX!E187)</f>
        <v/>
      </c>
      <c r="G134" s="19"/>
      <c r="H134" s="19"/>
      <c r="I134" s="19"/>
      <c r="J134" s="19"/>
      <c r="K134" s="19"/>
    </row>
    <row r="135" spans="1:11" ht="15" customHeight="1">
      <c r="A135" s="431"/>
      <c r="B135" s="600">
        <f>IF(AUX!A188="","",AUX!A188)</f>
        <v>0</v>
      </c>
      <c r="C135" s="441" t="str">
        <f>IF(AUX!B188="","",AUX!B188)</f>
        <v/>
      </c>
      <c r="D135" s="441" t="str">
        <f>IF(AUX!C188="","",AUX!C188)</f>
        <v/>
      </c>
      <c r="E135" s="441" t="str">
        <f>IF(AUX!D188="","",AUX!D188)</f>
        <v/>
      </c>
      <c r="F135" s="441" t="str">
        <f>IF(AUX!E188="","",AUX!E188)</f>
        <v/>
      </c>
      <c r="G135" s="431"/>
      <c r="H135" s="431"/>
      <c r="I135" s="431"/>
      <c r="J135" s="431"/>
      <c r="K135" s="431"/>
    </row>
    <row r="136" spans="1:11" ht="14.1" customHeight="1">
      <c r="A136" s="431"/>
      <c r="B136" s="442" t="str">
        <f>IF(AUX!A189="","",AUX!A189)</f>
        <v/>
      </c>
      <c r="C136" s="240" t="str">
        <f>IF(AUX!B189="","",AUX!B189)</f>
        <v/>
      </c>
      <c r="D136" s="240" t="str">
        <f>IF(AUX!C189="","",AUX!C189)</f>
        <v/>
      </c>
      <c r="E136" s="240" t="str">
        <f>IF(AUX!D189="","",AUX!D189)</f>
        <v/>
      </c>
      <c r="F136" s="240" t="str">
        <f>IF(AUX!E189="","",AUX!E189)</f>
        <v/>
      </c>
      <c r="G136" s="431"/>
      <c r="H136" s="431"/>
      <c r="I136" s="431"/>
      <c r="J136" s="431"/>
      <c r="K136" s="431"/>
    </row>
    <row r="137" spans="1:11" ht="14.1" customHeight="1">
      <c r="A137" s="431"/>
      <c r="B137" s="254" t="str">
        <f>IF(AUX!A190="","",AUX!A190)</f>
        <v/>
      </c>
      <c r="C137" s="257" t="str">
        <f>IF(AUX!B190="","",AUX!B190)</f>
        <v/>
      </c>
      <c r="D137" s="257" t="str">
        <f>IF(AUX!C190="","",AUX!C190)</f>
        <v/>
      </c>
      <c r="E137" s="257" t="str">
        <f>IF(AUX!D190="","",AUX!D190)</f>
        <v/>
      </c>
      <c r="F137" s="257" t="str">
        <f>IF(AUX!E190="","",AUX!E190)</f>
        <v/>
      </c>
      <c r="G137" s="431"/>
      <c r="H137" s="431"/>
      <c r="I137" s="431"/>
      <c r="J137" s="431"/>
      <c r="K137" s="431"/>
    </row>
    <row r="138" spans="1:11" ht="14.1" customHeight="1">
      <c r="A138" s="431"/>
      <c r="B138" s="442" t="str">
        <f>IF(AUX!A191="","",AUX!A191)</f>
        <v/>
      </c>
      <c r="C138" s="240" t="str">
        <f>IF(AUX!B191="","",AUX!B191)</f>
        <v/>
      </c>
      <c r="D138" s="240" t="str">
        <f>IF(AUX!C191="","",AUX!C191)</f>
        <v/>
      </c>
      <c r="E138" s="240" t="str">
        <f>IF(AUX!D191="","",AUX!D191)</f>
        <v/>
      </c>
      <c r="F138" s="240" t="str">
        <f>IF(AUX!E191="","",AUX!E191)</f>
        <v/>
      </c>
      <c r="G138" s="431"/>
      <c r="H138" s="431"/>
      <c r="I138" s="431"/>
      <c r="J138" s="431"/>
      <c r="K138" s="431"/>
    </row>
    <row r="139" spans="1:11" ht="14.1" customHeight="1">
      <c r="A139" s="431"/>
      <c r="B139" s="254" t="str">
        <f>IF(AUX!A192="","",AUX!A192)</f>
        <v/>
      </c>
      <c r="C139" s="257" t="str">
        <f>IF(AUX!B192="","",AUX!B192)</f>
        <v/>
      </c>
      <c r="D139" s="257" t="str">
        <f>IF(AUX!C192="","",AUX!C192)</f>
        <v/>
      </c>
      <c r="E139" s="257" t="str">
        <f>IF(AUX!D192="","",AUX!D192)</f>
        <v/>
      </c>
      <c r="F139" s="257" t="str">
        <f>IF(AUX!E192="","",AUX!E192)</f>
        <v/>
      </c>
      <c r="G139" s="431"/>
      <c r="H139" s="431"/>
      <c r="I139" s="431"/>
      <c r="J139" s="431"/>
      <c r="K139" s="431"/>
    </row>
    <row r="140" spans="1:11" ht="14.1" customHeight="1">
      <c r="A140" s="431"/>
      <c r="B140" s="442" t="str">
        <f>IF(AUX!A193="","",AUX!A193)</f>
        <v/>
      </c>
      <c r="C140" s="240" t="str">
        <f>IF(AUX!B193="","",AUX!B193)</f>
        <v/>
      </c>
      <c r="D140" s="240" t="str">
        <f>IF(AUX!C193="","",AUX!C193)</f>
        <v/>
      </c>
      <c r="E140" s="240" t="str">
        <f>IF(AUX!D193="","",AUX!D193)</f>
        <v/>
      </c>
      <c r="F140" s="240" t="str">
        <f>IF(AUX!E193="","",AUX!E193)</f>
        <v/>
      </c>
      <c r="G140" s="431"/>
      <c r="H140" s="431"/>
      <c r="I140" s="431"/>
      <c r="J140" s="431"/>
      <c r="K140" s="431"/>
    </row>
    <row r="141" spans="1:11" ht="14.1" customHeight="1">
      <c r="A141" s="431"/>
      <c r="B141" s="254" t="str">
        <f>IF(AUX!A194="","",AUX!A194)</f>
        <v/>
      </c>
      <c r="C141" s="257" t="str">
        <f>IF(AUX!B194="","",AUX!B194)</f>
        <v/>
      </c>
      <c r="D141" s="257" t="str">
        <f>IF(AUX!C194="","",AUX!C194)</f>
        <v/>
      </c>
      <c r="E141" s="257" t="str">
        <f>IF(AUX!D194="","",AUX!D194)</f>
        <v/>
      </c>
      <c r="F141" s="257" t="str">
        <f>IF(AUX!E194="","",AUX!E194)</f>
        <v/>
      </c>
      <c r="G141" s="431"/>
      <c r="H141" s="431"/>
      <c r="I141" s="431"/>
      <c r="J141" s="431"/>
      <c r="K141" s="431"/>
    </row>
    <row r="142" spans="1:11" ht="14.1" customHeight="1">
      <c r="A142" s="431"/>
      <c r="B142" s="442" t="str">
        <f>IF(AUX!A195="","",AUX!A195)</f>
        <v/>
      </c>
      <c r="C142" s="240" t="str">
        <f>IF(AUX!B195="","",AUX!B195)</f>
        <v/>
      </c>
      <c r="D142" s="240" t="str">
        <f>IF(AUX!C195="","",AUX!C195)</f>
        <v/>
      </c>
      <c r="E142" s="240" t="str">
        <f>IF(AUX!D195="","",AUX!D195)</f>
        <v/>
      </c>
      <c r="F142" s="240" t="str">
        <f>IF(AUX!E195="","",AUX!E195)</f>
        <v/>
      </c>
      <c r="G142" s="431"/>
      <c r="H142" s="431"/>
      <c r="I142" s="431"/>
      <c r="J142" s="431"/>
      <c r="K142" s="431"/>
    </row>
    <row r="143" spans="1:11" ht="14.1" customHeight="1">
      <c r="A143" s="431"/>
      <c r="B143" s="254" t="str">
        <f>IF(AUX!A196="","",AUX!A196)</f>
        <v/>
      </c>
      <c r="C143" s="257" t="str">
        <f>IF(AUX!B196="","",AUX!B196)</f>
        <v/>
      </c>
      <c r="D143" s="257" t="str">
        <f>IF(AUX!C196="","",AUX!C196)</f>
        <v/>
      </c>
      <c r="E143" s="257" t="str">
        <f>IF(AUX!D196="","",AUX!D196)</f>
        <v/>
      </c>
      <c r="F143" s="257" t="str">
        <f>IF(AUX!E196="","",AUX!E196)</f>
        <v/>
      </c>
      <c r="G143" s="431"/>
      <c r="H143" s="431"/>
      <c r="I143" s="431"/>
      <c r="J143" s="431"/>
      <c r="K143" s="431"/>
    </row>
    <row r="144" spans="1:11" ht="14.1" customHeight="1">
      <c r="A144" s="431"/>
      <c r="B144" s="442" t="str">
        <f>IF(AUX!A197="","",AUX!A197)</f>
        <v/>
      </c>
      <c r="C144" s="240" t="str">
        <f>IF(AUX!B197="","",AUX!B197)</f>
        <v/>
      </c>
      <c r="D144" s="240" t="str">
        <f>IF(AUX!C197="","",AUX!C197)</f>
        <v/>
      </c>
      <c r="E144" s="240" t="str">
        <f>IF(AUX!D197="","",AUX!D197)</f>
        <v/>
      </c>
      <c r="F144" s="240" t="str">
        <f>IF(AUX!E197="","",AUX!E197)</f>
        <v/>
      </c>
      <c r="G144" s="431"/>
      <c r="H144" s="431"/>
      <c r="I144" s="431"/>
      <c r="J144" s="431"/>
      <c r="K144" s="431"/>
    </row>
    <row r="145" spans="1:11" ht="14.1" customHeight="1">
      <c r="A145" s="431"/>
      <c r="B145" s="254" t="str">
        <f>IF(AUX!A198="","",AUX!A198)</f>
        <v/>
      </c>
      <c r="C145" s="257" t="str">
        <f>IF(AUX!B198="","",AUX!B198)</f>
        <v/>
      </c>
      <c r="D145" s="257" t="str">
        <f>IF(AUX!C198="","",AUX!C198)</f>
        <v/>
      </c>
      <c r="E145" s="257" t="str">
        <f>IF(AUX!D198="","",AUX!D198)</f>
        <v/>
      </c>
      <c r="F145" s="257" t="str">
        <f>IF(AUX!E198="","",AUX!E198)</f>
        <v/>
      </c>
      <c r="G145" s="431"/>
      <c r="H145" s="431"/>
      <c r="I145" s="431"/>
      <c r="J145" s="431"/>
      <c r="K145" s="431"/>
    </row>
    <row r="146" spans="1:11" ht="14.1" customHeight="1">
      <c r="A146" s="431"/>
      <c r="B146" s="442" t="str">
        <f>IF(AUX!A199="","",AUX!A199)</f>
        <v/>
      </c>
      <c r="C146" s="240" t="str">
        <f>IF(AUX!B199="","",AUX!B199)</f>
        <v/>
      </c>
      <c r="D146" s="240" t="str">
        <f>IF(AUX!C199="","",AUX!C199)</f>
        <v/>
      </c>
      <c r="E146" s="240" t="str">
        <f>IF(AUX!D199="","",AUX!D199)</f>
        <v/>
      </c>
      <c r="F146" s="240" t="str">
        <f>IF(AUX!E199="","",AUX!E199)</f>
        <v/>
      </c>
      <c r="G146" s="431"/>
      <c r="H146" s="431"/>
      <c r="I146" s="431"/>
      <c r="J146" s="431"/>
      <c r="K146" s="431"/>
    </row>
    <row r="147" spans="1:11" ht="14.1" customHeight="1">
      <c r="A147" s="431"/>
      <c r="B147" s="254" t="str">
        <f>IF(AUX!A200="","",AUX!A200)</f>
        <v/>
      </c>
      <c r="C147" s="257" t="str">
        <f>IF(AUX!B200="","",AUX!B200)</f>
        <v/>
      </c>
      <c r="D147" s="257" t="str">
        <f>IF(AUX!C200="","",AUX!C200)</f>
        <v/>
      </c>
      <c r="E147" s="257" t="str">
        <f>IF(AUX!D200="","",AUX!D200)</f>
        <v/>
      </c>
      <c r="F147" s="257" t="str">
        <f>IF(AUX!E200="","",AUX!E200)</f>
        <v/>
      </c>
      <c r="G147" s="431"/>
      <c r="H147" s="431"/>
      <c r="I147" s="431"/>
      <c r="J147" s="431"/>
      <c r="K147" s="431"/>
    </row>
    <row r="148" spans="1:11" ht="14.1" customHeight="1">
      <c r="A148" s="431"/>
      <c r="B148" s="442" t="str">
        <f>IF(AUX!A201="","",AUX!A201)</f>
        <v/>
      </c>
      <c r="C148" s="240" t="str">
        <f>IF(AUX!B201="","",AUX!B201)</f>
        <v/>
      </c>
      <c r="D148" s="240" t="str">
        <f>IF(AUX!C201="","",AUX!C201)</f>
        <v/>
      </c>
      <c r="E148" s="240" t="str">
        <f>IF(AUX!D201="","",AUX!D201)</f>
        <v/>
      </c>
      <c r="F148" s="240" t="str">
        <f>IF(AUX!E201="","",AUX!E201)</f>
        <v/>
      </c>
      <c r="G148" s="431"/>
      <c r="H148" s="431"/>
      <c r="I148" s="431"/>
      <c r="J148" s="431"/>
      <c r="K148" s="431"/>
    </row>
    <row r="149" spans="1:11" ht="14.1" customHeight="1">
      <c r="A149" s="19"/>
      <c r="B149" s="254" t="str">
        <f>IF(AUX!A202="","",AUX!A202)</f>
        <v/>
      </c>
      <c r="C149" s="257" t="str">
        <f>IF(AUX!B202="","",AUX!B202)</f>
        <v/>
      </c>
      <c r="D149" s="257" t="str">
        <f>IF(AUX!C202="","",AUX!C202)</f>
        <v/>
      </c>
      <c r="E149" s="257" t="str">
        <f>IF(AUX!D202="","",AUX!D202)</f>
        <v/>
      </c>
      <c r="F149" s="257" t="str">
        <f>IF(AUX!E202="","",AUX!E202)</f>
        <v/>
      </c>
      <c r="G149" s="19"/>
      <c r="H149" s="19"/>
      <c r="I149" s="19"/>
      <c r="J149" s="19"/>
      <c r="K149" s="19"/>
    </row>
    <row r="150" spans="1:11" ht="14.1" customHeight="1">
      <c r="A150" s="19"/>
      <c r="B150" s="394" t="str">
        <f>IF(AUX!A203="","",AUX!A203)</f>
        <v/>
      </c>
      <c r="C150" s="443" t="str">
        <f>IF(AUX!B203="","",AUX!B203)</f>
        <v/>
      </c>
      <c r="D150" s="443" t="str">
        <f>IF(AUX!C203="","",AUX!C203)</f>
        <v/>
      </c>
      <c r="E150" s="443" t="str">
        <f>IF(AUX!D203="","",AUX!D203)</f>
        <v/>
      </c>
      <c r="F150" s="443" t="str">
        <f>IF(AUX!E203="","",AUX!E203)</f>
        <v/>
      </c>
      <c r="G150" s="19"/>
      <c r="H150" s="643" t="s">
        <v>690</v>
      </c>
      <c r="I150" s="643"/>
      <c r="J150" s="643"/>
      <c r="K150" s="19"/>
    </row>
    <row r="151" spans="1:11" ht="15" customHeight="1">
      <c r="A151" s="19"/>
      <c r="B151" s="430"/>
      <c r="C151" s="430"/>
      <c r="D151" s="655" t="s">
        <v>690</v>
      </c>
      <c r="E151" s="655"/>
      <c r="F151" s="655"/>
      <c r="G151" s="19"/>
      <c r="H151" s="19"/>
      <c r="I151" s="19"/>
      <c r="J151" s="19"/>
      <c r="K151" s="19"/>
    </row>
    <row r="152" spans="1:11" ht="15" customHeight="1">
      <c r="A152" s="19"/>
      <c r="B152" s="19"/>
      <c r="C152" s="19"/>
      <c r="D152" s="19"/>
      <c r="E152" s="19"/>
      <c r="F152" s="19"/>
      <c r="G152" s="19"/>
      <c r="H152" s="19"/>
      <c r="I152" s="19"/>
      <c r="J152" s="19"/>
      <c r="K152" s="19"/>
    </row>
    <row r="153" spans="1:11" ht="15" customHeight="1">
      <c r="A153" s="19"/>
      <c r="B153" s="114" t="s">
        <v>28</v>
      </c>
      <c r="C153" s="19"/>
      <c r="D153" s="19"/>
      <c r="E153" s="19"/>
      <c r="F153" s="19"/>
      <c r="G153" s="19"/>
      <c r="H153" s="19"/>
      <c r="I153" s="19"/>
      <c r="J153" s="19"/>
      <c r="K153" s="19"/>
    </row>
    <row r="154" spans="1:11" ht="20.100000000000001" customHeight="1">
      <c r="A154" s="434"/>
      <c r="B154" s="434"/>
      <c r="C154" s="434"/>
      <c r="D154" s="434"/>
      <c r="E154" s="434"/>
      <c r="F154" s="434"/>
      <c r="G154" s="434"/>
      <c r="H154" s="434"/>
      <c r="I154" s="434"/>
      <c r="J154" s="434"/>
      <c r="K154" s="434"/>
    </row>
    <row r="155" spans="1:11" ht="20.100000000000001" customHeight="1" thickBot="1">
      <c r="A155" s="434"/>
      <c r="B155" s="702" t="s">
        <v>65</v>
      </c>
      <c r="C155" s="702"/>
      <c r="D155" s="702"/>
      <c r="E155" s="702"/>
      <c r="F155" s="702"/>
      <c r="G155" s="702"/>
      <c r="H155" s="702"/>
      <c r="I155" s="702"/>
      <c r="J155" s="702"/>
      <c r="K155" s="434"/>
    </row>
    <row r="156" spans="1:11" ht="9.9499999999999993" customHeight="1">
      <c r="A156" s="434"/>
      <c r="B156" s="434"/>
      <c r="C156" s="434"/>
      <c r="D156" s="434"/>
      <c r="E156" s="434"/>
      <c r="F156" s="434"/>
      <c r="G156" s="434"/>
      <c r="H156" s="434"/>
      <c r="I156" s="434"/>
      <c r="J156" s="434"/>
      <c r="K156" s="434"/>
    </row>
    <row r="157" spans="1:11" ht="15.95" customHeight="1">
      <c r="A157" s="434"/>
      <c r="B157" s="706" t="s">
        <v>322</v>
      </c>
      <c r="C157" s="706"/>
      <c r="D157" s="706"/>
      <c r="E157" s="706"/>
      <c r="F157" s="706"/>
      <c r="G157" s="706"/>
      <c r="H157" s="706"/>
      <c r="I157" s="706"/>
      <c r="J157" s="706"/>
      <c r="K157" s="434"/>
    </row>
    <row r="158" spans="1:11" ht="5.0999999999999996" customHeight="1">
      <c r="A158" s="434"/>
      <c r="B158" s="434"/>
      <c r="C158" s="434"/>
      <c r="D158" s="434"/>
      <c r="E158" s="434"/>
      <c r="F158" s="434"/>
      <c r="G158" s="434"/>
      <c r="H158" s="434"/>
      <c r="I158" s="434"/>
      <c r="J158" s="434"/>
      <c r="K158" s="434"/>
    </row>
    <row r="159" spans="1:11" ht="15.95" customHeight="1">
      <c r="A159" s="436"/>
      <c r="B159" s="718" t="s">
        <v>8</v>
      </c>
      <c r="C159" s="712" t="s">
        <v>324</v>
      </c>
      <c r="D159" s="713"/>
      <c r="E159" s="713"/>
      <c r="F159" s="713"/>
      <c r="G159" s="714" t="s">
        <v>323</v>
      </c>
      <c r="H159" s="715"/>
      <c r="I159" s="715"/>
      <c r="J159" s="716"/>
      <c r="K159" s="436"/>
    </row>
    <row r="160" spans="1:11" ht="15.95" customHeight="1">
      <c r="A160" s="436"/>
      <c r="B160" s="718"/>
      <c r="C160" s="435">
        <v>2004</v>
      </c>
      <c r="D160" s="435">
        <v>2007</v>
      </c>
      <c r="E160" s="128">
        <v>2009</v>
      </c>
      <c r="F160" s="128">
        <v>2011</v>
      </c>
      <c r="G160" s="444">
        <v>1993</v>
      </c>
      <c r="H160" s="435">
        <v>2000</v>
      </c>
      <c r="I160" s="435">
        <v>2005</v>
      </c>
      <c r="J160" s="435">
        <v>2011</v>
      </c>
      <c r="K160" s="436"/>
    </row>
    <row r="161" spans="1:24" ht="18" customHeight="1">
      <c r="A161" s="436"/>
      <c r="B161" s="36" t="s">
        <v>16</v>
      </c>
      <c r="C161" s="124">
        <f>AUX!F186</f>
        <v>879.62</v>
      </c>
      <c r="D161" s="124">
        <f>AUX!G186</f>
        <v>965.25</v>
      </c>
      <c r="E161" s="399">
        <f>AUX!H186</f>
        <v>1036.44</v>
      </c>
      <c r="F161" s="399">
        <f>AUX!I186</f>
        <v>1084.55</v>
      </c>
      <c r="G161" s="445">
        <f>AUX!J186</f>
        <v>101.76</v>
      </c>
      <c r="H161" s="124">
        <f>AUX!K186</f>
        <v>101.65</v>
      </c>
      <c r="I161" s="124">
        <f>AUX!L186</f>
        <v>100.52</v>
      </c>
      <c r="J161" s="124">
        <f>AUX!M186</f>
        <v>100.83</v>
      </c>
      <c r="K161" s="436"/>
      <c r="M161" s="23"/>
      <c r="N161" s="23"/>
      <c r="O161" s="23"/>
      <c r="P161" s="23"/>
      <c r="Q161" s="23"/>
      <c r="R161" s="23"/>
      <c r="S161" s="23"/>
      <c r="T161" s="23"/>
      <c r="U161" s="23"/>
      <c r="V161" s="23"/>
      <c r="W161" s="23"/>
      <c r="X161" s="23"/>
    </row>
    <row r="162" spans="1:24" ht="18" customHeight="1">
      <c r="A162" s="436"/>
      <c r="B162" s="126" t="str">
        <f>IF(AUX!G2=1,AUX!A2,CONCATENATE(AUX!A2," *"))</f>
        <v xml:space="preserve"> *</v>
      </c>
      <c r="C162" s="127">
        <f>AUX!F187</f>
        <v>0</v>
      </c>
      <c r="D162" s="127">
        <f>AUX!G187</f>
        <v>0</v>
      </c>
      <c r="E162" s="400">
        <f>AUX!H187</f>
        <v>0</v>
      </c>
      <c r="F162" s="400">
        <f>AUX!I187</f>
        <v>0</v>
      </c>
      <c r="G162" s="446">
        <f>AUX!J187</f>
        <v>0</v>
      </c>
      <c r="H162" s="127">
        <f>AUX!K187</f>
        <v>0</v>
      </c>
      <c r="I162" s="127">
        <f>AUX!L187</f>
        <v>0</v>
      </c>
      <c r="J162" s="127">
        <f>AUX!M187</f>
        <v>0</v>
      </c>
      <c r="K162" s="436"/>
      <c r="M162" s="23"/>
      <c r="N162" s="23"/>
      <c r="O162" s="23"/>
      <c r="P162" s="23"/>
      <c r="Q162" s="23"/>
      <c r="R162" s="23"/>
      <c r="S162" s="23"/>
      <c r="T162" s="23"/>
      <c r="U162" s="23"/>
      <c r="V162" s="23"/>
      <c r="W162" s="23"/>
      <c r="X162" s="23"/>
    </row>
    <row r="163" spans="1:24" ht="15.95" customHeight="1">
      <c r="A163" s="436"/>
      <c r="B163" s="601">
        <f>IF(AUX!A188="","",AUX!A188)</f>
        <v>0</v>
      </c>
      <c r="C163" s="129" t="str">
        <f>IF(AUX!F188="","",AUX!F188)</f>
        <v/>
      </c>
      <c r="D163" s="129" t="str">
        <f>IF(AUX!G188="","",AUX!G188)</f>
        <v/>
      </c>
      <c r="E163" s="401" t="str">
        <f>IF(AUX!H188="","",AUX!H188)</f>
        <v/>
      </c>
      <c r="F163" s="401" t="str">
        <f>IF(AUX!I188="","",AUX!I188)</f>
        <v/>
      </c>
      <c r="G163" s="531" t="str">
        <f>IF(AUX!J188="","",AUX!J188)</f>
        <v/>
      </c>
      <c r="H163" s="532" t="str">
        <f>IF(AUX!K188="","",AUX!K188)</f>
        <v/>
      </c>
      <c r="I163" s="532" t="str">
        <f>IF(AUX!L188="","",AUX!L188)</f>
        <v/>
      </c>
      <c r="J163" s="532" t="str">
        <f>IF(AUX!M188="","",AUX!M188)</f>
        <v/>
      </c>
      <c r="K163" s="436"/>
      <c r="M163" s="23"/>
      <c r="N163" s="23"/>
      <c r="O163" s="23"/>
      <c r="P163" s="23"/>
      <c r="Q163" s="23"/>
      <c r="R163" s="23"/>
      <c r="S163" s="23"/>
      <c r="T163" s="23"/>
      <c r="U163" s="23"/>
      <c r="V163" s="23"/>
      <c r="W163" s="23"/>
      <c r="X163" s="23"/>
    </row>
    <row r="164" spans="1:24" ht="12.95" customHeight="1">
      <c r="A164" s="436"/>
      <c r="B164" s="391" t="str">
        <f>IF(AUX!A189="","",AUX!A189)</f>
        <v/>
      </c>
      <c r="C164" s="127" t="str">
        <f>IF(AUX!F189="","",AUX!F189)</f>
        <v/>
      </c>
      <c r="D164" s="127" t="str">
        <f>IF(AUX!G189="","",AUX!G189)</f>
        <v/>
      </c>
      <c r="E164" s="400" t="str">
        <f>IF(AUX!H189="","",AUX!H189)</f>
        <v/>
      </c>
      <c r="F164" s="400" t="str">
        <f>IF(AUX!I189="","",AUX!I189)</f>
        <v/>
      </c>
      <c r="G164" s="533" t="str">
        <f>IF(AUX!J189="","",AUX!J189)</f>
        <v/>
      </c>
      <c r="H164" s="534" t="str">
        <f>IF(AUX!K189="","",AUX!K189)</f>
        <v/>
      </c>
      <c r="I164" s="534" t="str">
        <f>IF(AUX!L189="","",AUX!L189)</f>
        <v/>
      </c>
      <c r="J164" s="534" t="str">
        <f>IF(AUX!M189="","",AUX!M189)</f>
        <v/>
      </c>
      <c r="K164" s="436"/>
      <c r="M164" s="23"/>
      <c r="N164" s="23"/>
      <c r="O164" s="23"/>
      <c r="P164" s="23"/>
      <c r="Q164" s="23"/>
      <c r="R164" s="23"/>
      <c r="S164" s="23"/>
      <c r="T164" s="23"/>
      <c r="U164" s="23"/>
      <c r="V164" s="23"/>
      <c r="W164" s="23"/>
      <c r="X164" s="23"/>
    </row>
    <row r="165" spans="1:24" ht="12.95" customHeight="1">
      <c r="A165" s="436"/>
      <c r="B165" s="392" t="str">
        <f>IF(AUX!A190="","",AUX!A190)</f>
        <v/>
      </c>
      <c r="C165" s="130" t="str">
        <f>IF(AUX!F190="","",AUX!F190)</f>
        <v/>
      </c>
      <c r="D165" s="130" t="str">
        <f>IF(AUX!G190="","",AUX!G190)</f>
        <v/>
      </c>
      <c r="E165" s="402" t="str">
        <f>IF(AUX!H190="","",AUX!H190)</f>
        <v/>
      </c>
      <c r="F165" s="402" t="str">
        <f>IF(AUX!I190="","",AUX!I190)</f>
        <v/>
      </c>
      <c r="G165" s="535" t="str">
        <f>IF(AUX!J190="","",AUX!J190)</f>
        <v/>
      </c>
      <c r="H165" s="536" t="str">
        <f>IF(AUX!K190="","",AUX!K190)</f>
        <v/>
      </c>
      <c r="I165" s="536" t="str">
        <f>IF(AUX!L190="","",AUX!L190)</f>
        <v/>
      </c>
      <c r="J165" s="536" t="str">
        <f>IF(AUX!M190="","",AUX!M190)</f>
        <v/>
      </c>
      <c r="K165" s="436"/>
      <c r="M165" s="23"/>
      <c r="N165" s="23"/>
      <c r="O165" s="23"/>
      <c r="P165" s="23"/>
      <c r="Q165" s="23"/>
      <c r="R165" s="23"/>
      <c r="S165" s="23"/>
      <c r="T165" s="23"/>
      <c r="U165" s="23"/>
      <c r="V165" s="23"/>
      <c r="W165" s="23"/>
      <c r="X165" s="23"/>
    </row>
    <row r="166" spans="1:24" ht="12.95" customHeight="1">
      <c r="A166" s="436"/>
      <c r="B166" s="391" t="str">
        <f>IF(AUX!A191="","",AUX!A191)</f>
        <v/>
      </c>
      <c r="C166" s="127" t="str">
        <f>IF(AUX!F191="","",AUX!F191)</f>
        <v/>
      </c>
      <c r="D166" s="127" t="str">
        <f>IF(AUX!G191="","",AUX!G191)</f>
        <v/>
      </c>
      <c r="E166" s="400" t="str">
        <f>IF(AUX!H191="","",AUX!H191)</f>
        <v/>
      </c>
      <c r="F166" s="400" t="str">
        <f>IF(AUX!I191="","",AUX!I191)</f>
        <v/>
      </c>
      <c r="G166" s="533" t="str">
        <f>IF(AUX!J191="","",AUX!J191)</f>
        <v/>
      </c>
      <c r="H166" s="534" t="str">
        <f>IF(AUX!K191="","",AUX!K191)</f>
        <v/>
      </c>
      <c r="I166" s="534" t="str">
        <f>IF(AUX!L191="","",AUX!L191)</f>
        <v/>
      </c>
      <c r="J166" s="534" t="str">
        <f>IF(AUX!M191="","",AUX!M191)</f>
        <v/>
      </c>
      <c r="K166" s="436"/>
      <c r="M166" s="23"/>
      <c r="N166" s="23"/>
      <c r="O166" s="23"/>
      <c r="P166" s="23"/>
      <c r="Q166" s="23"/>
      <c r="R166" s="23"/>
      <c r="S166" s="23"/>
      <c r="T166" s="23"/>
      <c r="U166" s="23"/>
      <c r="V166" s="23"/>
      <c r="W166" s="23"/>
      <c r="X166" s="23"/>
    </row>
    <row r="167" spans="1:24" ht="12.95" customHeight="1">
      <c r="A167" s="436"/>
      <c r="B167" s="392" t="str">
        <f>IF(AUX!A192="","",AUX!A192)</f>
        <v/>
      </c>
      <c r="C167" s="130" t="str">
        <f>IF(AUX!F192="","",AUX!F192)</f>
        <v/>
      </c>
      <c r="D167" s="130" t="str">
        <f>IF(AUX!G192="","",AUX!G192)</f>
        <v/>
      </c>
      <c r="E167" s="402" t="str">
        <f>IF(AUX!H192="","",AUX!H192)</f>
        <v/>
      </c>
      <c r="F167" s="402" t="str">
        <f>IF(AUX!I192="","",AUX!I192)</f>
        <v/>
      </c>
      <c r="G167" s="535" t="str">
        <f>IF(AUX!J192="","",AUX!J192)</f>
        <v/>
      </c>
      <c r="H167" s="536" t="str">
        <f>IF(AUX!K192="","",AUX!K192)</f>
        <v/>
      </c>
      <c r="I167" s="536" t="str">
        <f>IF(AUX!L192="","",AUX!L192)</f>
        <v/>
      </c>
      <c r="J167" s="536" t="str">
        <f>IF(AUX!M192="","",AUX!M192)</f>
        <v/>
      </c>
      <c r="K167" s="436"/>
      <c r="M167" s="23"/>
      <c r="N167" s="23"/>
      <c r="O167" s="23"/>
      <c r="P167" s="23"/>
      <c r="Q167" s="23"/>
      <c r="R167" s="23"/>
      <c r="S167" s="23"/>
      <c r="T167" s="23"/>
      <c r="U167" s="23"/>
      <c r="V167" s="23"/>
      <c r="W167" s="23"/>
      <c r="X167" s="23"/>
    </row>
    <row r="168" spans="1:24" ht="12.95" customHeight="1">
      <c r="A168" s="436"/>
      <c r="B168" s="391" t="str">
        <f>IF(AUX!A193="","",AUX!A193)</f>
        <v/>
      </c>
      <c r="C168" s="127" t="str">
        <f>IF(AUX!F193="","",AUX!F193)</f>
        <v/>
      </c>
      <c r="D168" s="127" t="str">
        <f>IF(AUX!G193="","",AUX!G193)</f>
        <v/>
      </c>
      <c r="E168" s="400" t="str">
        <f>IF(AUX!H193="","",AUX!H193)</f>
        <v/>
      </c>
      <c r="F168" s="400" t="str">
        <f>IF(AUX!I193="","",AUX!I193)</f>
        <v/>
      </c>
      <c r="G168" s="533" t="str">
        <f>IF(AUX!J193="","",AUX!J193)</f>
        <v/>
      </c>
      <c r="H168" s="534" t="str">
        <f>IF(AUX!K193="","",AUX!K193)</f>
        <v/>
      </c>
      <c r="I168" s="534" t="str">
        <f>IF(AUX!L193="","",AUX!L193)</f>
        <v/>
      </c>
      <c r="J168" s="534" t="str">
        <f>IF(AUX!M193="","",AUX!M193)</f>
        <v/>
      </c>
      <c r="K168" s="436"/>
      <c r="M168" s="23"/>
      <c r="N168" s="23"/>
      <c r="O168" s="23"/>
      <c r="P168" s="23"/>
      <c r="Q168" s="23"/>
      <c r="R168" s="23"/>
      <c r="S168" s="23"/>
      <c r="T168" s="23"/>
      <c r="U168" s="23"/>
      <c r="V168" s="23"/>
      <c r="W168" s="23"/>
      <c r="X168" s="23"/>
    </row>
    <row r="169" spans="1:24" ht="12.95" customHeight="1">
      <c r="A169" s="436"/>
      <c r="B169" s="392" t="str">
        <f>IF(AUX!A194="","",AUX!A194)</f>
        <v/>
      </c>
      <c r="C169" s="130" t="str">
        <f>IF(AUX!F194="","",AUX!F194)</f>
        <v/>
      </c>
      <c r="D169" s="130" t="str">
        <f>IF(AUX!G194="","",AUX!G194)</f>
        <v/>
      </c>
      <c r="E169" s="402" t="str">
        <f>IF(AUX!H194="","",AUX!H194)</f>
        <v/>
      </c>
      <c r="F169" s="402" t="str">
        <f>IF(AUX!I194="","",AUX!I194)</f>
        <v/>
      </c>
      <c r="G169" s="535" t="str">
        <f>IF(AUX!J194="","",AUX!J194)</f>
        <v/>
      </c>
      <c r="H169" s="536" t="str">
        <f>IF(AUX!K194="","",AUX!K194)</f>
        <v/>
      </c>
      <c r="I169" s="536" t="str">
        <f>IF(AUX!L194="","",AUX!L194)</f>
        <v/>
      </c>
      <c r="J169" s="536" t="str">
        <f>IF(AUX!M194="","",AUX!M194)</f>
        <v/>
      </c>
      <c r="K169" s="436"/>
      <c r="M169" s="23"/>
      <c r="N169" s="23"/>
      <c r="O169" s="23"/>
      <c r="P169" s="23"/>
      <c r="Q169" s="23"/>
      <c r="R169" s="23"/>
      <c r="S169" s="23"/>
      <c r="T169" s="23"/>
      <c r="U169" s="23"/>
      <c r="V169" s="23"/>
      <c r="W169" s="23"/>
      <c r="X169" s="23"/>
    </row>
    <row r="170" spans="1:24" ht="12.95" customHeight="1">
      <c r="A170" s="436"/>
      <c r="B170" s="391" t="str">
        <f>IF(AUX!A195="","",AUX!A195)</f>
        <v/>
      </c>
      <c r="C170" s="127" t="str">
        <f>IF(AUX!F195="","",AUX!F195)</f>
        <v/>
      </c>
      <c r="D170" s="127" t="str">
        <f>IF(AUX!G195="","",AUX!G195)</f>
        <v/>
      </c>
      <c r="E170" s="400" t="str">
        <f>IF(AUX!H195="","",AUX!H195)</f>
        <v/>
      </c>
      <c r="F170" s="400" t="str">
        <f>IF(AUX!I195="","",AUX!I195)</f>
        <v/>
      </c>
      <c r="G170" s="533" t="str">
        <f>IF(AUX!J195="","",AUX!J195)</f>
        <v/>
      </c>
      <c r="H170" s="534" t="str">
        <f>IF(AUX!K195="","",AUX!K195)</f>
        <v/>
      </c>
      <c r="I170" s="534" t="str">
        <f>IF(AUX!L195="","",AUX!L195)</f>
        <v/>
      </c>
      <c r="J170" s="534" t="str">
        <f>IF(AUX!M195="","",AUX!M195)</f>
        <v/>
      </c>
      <c r="K170" s="436"/>
      <c r="M170" s="23"/>
      <c r="N170" s="23"/>
      <c r="O170" s="23"/>
      <c r="P170" s="23"/>
      <c r="Q170" s="23"/>
      <c r="R170" s="23"/>
      <c r="S170" s="23"/>
      <c r="T170" s="23"/>
      <c r="U170" s="23"/>
      <c r="V170" s="23"/>
      <c r="W170" s="23"/>
      <c r="X170" s="23"/>
    </row>
    <row r="171" spans="1:24" ht="12.95" customHeight="1">
      <c r="A171" s="436"/>
      <c r="B171" s="392" t="str">
        <f>IF(AUX!A196="","",AUX!A196)</f>
        <v/>
      </c>
      <c r="C171" s="130" t="str">
        <f>IF(AUX!F196="","",AUX!F196)</f>
        <v/>
      </c>
      <c r="D171" s="130" t="str">
        <f>IF(AUX!G196="","",AUX!G196)</f>
        <v/>
      </c>
      <c r="E171" s="402" t="str">
        <f>IF(AUX!H196="","",AUX!H196)</f>
        <v/>
      </c>
      <c r="F171" s="402" t="str">
        <f>IF(AUX!I196="","",AUX!I196)</f>
        <v/>
      </c>
      <c r="G171" s="535" t="str">
        <f>IF(AUX!J196="","",AUX!J196)</f>
        <v/>
      </c>
      <c r="H171" s="536" t="str">
        <f>IF(AUX!K196="","",AUX!K196)</f>
        <v/>
      </c>
      <c r="I171" s="536" t="str">
        <f>IF(AUX!L196="","",AUX!L196)</f>
        <v/>
      </c>
      <c r="J171" s="536" t="str">
        <f>IF(AUX!M196="","",AUX!M196)</f>
        <v/>
      </c>
      <c r="K171" s="436"/>
      <c r="M171" s="23"/>
      <c r="N171" s="23"/>
      <c r="O171" s="23"/>
      <c r="P171" s="23"/>
      <c r="Q171" s="23"/>
      <c r="R171" s="23"/>
      <c r="S171" s="23"/>
      <c r="T171" s="23"/>
      <c r="U171" s="23"/>
      <c r="V171" s="23"/>
      <c r="W171" s="23"/>
      <c r="X171" s="23"/>
    </row>
    <row r="172" spans="1:24" ht="12.95" customHeight="1">
      <c r="A172" s="436"/>
      <c r="B172" s="391" t="str">
        <f>IF(AUX!A197="","",AUX!A197)</f>
        <v/>
      </c>
      <c r="C172" s="127" t="str">
        <f>IF(AUX!F197="","",AUX!F197)</f>
        <v/>
      </c>
      <c r="D172" s="127" t="str">
        <f>IF(AUX!G197="","",AUX!G197)</f>
        <v/>
      </c>
      <c r="E172" s="400" t="str">
        <f>IF(AUX!H197="","",AUX!H197)</f>
        <v/>
      </c>
      <c r="F172" s="400" t="str">
        <f>IF(AUX!I197="","",AUX!I197)</f>
        <v/>
      </c>
      <c r="G172" s="533" t="str">
        <f>IF(AUX!J197="","",AUX!J197)</f>
        <v/>
      </c>
      <c r="H172" s="534" t="str">
        <f>IF(AUX!K197="","",AUX!K197)</f>
        <v/>
      </c>
      <c r="I172" s="534" t="str">
        <f>IF(AUX!L197="","",AUX!L197)</f>
        <v/>
      </c>
      <c r="J172" s="534" t="str">
        <f>IF(AUX!M197="","",AUX!M197)</f>
        <v/>
      </c>
      <c r="K172" s="436"/>
      <c r="M172" s="23"/>
      <c r="N172" s="23"/>
      <c r="O172" s="23"/>
      <c r="P172" s="23"/>
      <c r="Q172" s="23"/>
      <c r="R172" s="23"/>
      <c r="S172" s="23"/>
      <c r="T172" s="23"/>
      <c r="U172" s="23"/>
      <c r="V172" s="23"/>
      <c r="W172" s="23"/>
      <c r="X172" s="23"/>
    </row>
    <row r="173" spans="1:24" ht="12.95" customHeight="1">
      <c r="A173" s="436"/>
      <c r="B173" s="393" t="str">
        <f>IF(AUX!A198="","",AUX!A198)</f>
        <v/>
      </c>
      <c r="C173" s="252" t="str">
        <f>IF(AUX!F198="","",AUX!F198)</f>
        <v/>
      </c>
      <c r="D173" s="252" t="str">
        <f>IF(AUX!G198="","",AUX!G198)</f>
        <v/>
      </c>
      <c r="E173" s="403" t="str">
        <f>IF(AUX!H198="","",AUX!H198)</f>
        <v/>
      </c>
      <c r="F173" s="403" t="str">
        <f>IF(AUX!I198="","",AUX!I198)</f>
        <v/>
      </c>
      <c r="G173" s="537" t="str">
        <f>IF(AUX!J198="","",AUX!J198)</f>
        <v/>
      </c>
      <c r="H173" s="538" t="str">
        <f>IF(AUX!K198="","",AUX!K198)</f>
        <v/>
      </c>
      <c r="I173" s="538" t="str">
        <f>IF(AUX!L198="","",AUX!L198)</f>
        <v/>
      </c>
      <c r="J173" s="538" t="str">
        <f>IF(AUX!M198="","",AUX!M198)</f>
        <v/>
      </c>
      <c r="K173" s="436"/>
      <c r="M173" s="23"/>
      <c r="N173" s="23"/>
      <c r="O173" s="23"/>
      <c r="P173" s="23"/>
      <c r="Q173" s="23"/>
      <c r="R173" s="23"/>
      <c r="S173" s="23"/>
      <c r="T173" s="23"/>
      <c r="U173" s="23"/>
      <c r="V173" s="23"/>
      <c r="W173" s="23"/>
      <c r="X173" s="23"/>
    </row>
    <row r="174" spans="1:24" ht="12.95" customHeight="1">
      <c r="A174" s="436"/>
      <c r="B174" s="391" t="str">
        <f>IF(AUX!A199="","",AUX!A199)</f>
        <v/>
      </c>
      <c r="C174" s="127" t="str">
        <f>IF(AUX!F199="","",AUX!F199)</f>
        <v/>
      </c>
      <c r="D174" s="127" t="str">
        <f>IF(AUX!G199="","",AUX!G199)</f>
        <v/>
      </c>
      <c r="E174" s="400" t="str">
        <f>IF(AUX!H199="","",AUX!H199)</f>
        <v/>
      </c>
      <c r="F174" s="400" t="str">
        <f>IF(AUX!I199="","",AUX!I199)</f>
        <v/>
      </c>
      <c r="G174" s="533" t="str">
        <f>IF(AUX!J199="","",AUX!J199)</f>
        <v/>
      </c>
      <c r="H174" s="534" t="str">
        <f>IF(AUX!K199="","",AUX!K199)</f>
        <v/>
      </c>
      <c r="I174" s="534" t="str">
        <f>IF(AUX!L199="","",AUX!L199)</f>
        <v/>
      </c>
      <c r="J174" s="534" t="str">
        <f>IF(AUX!M199="","",AUX!M199)</f>
        <v/>
      </c>
      <c r="K174" s="436"/>
      <c r="M174" s="23"/>
      <c r="N174" s="23"/>
      <c r="O174" s="23"/>
      <c r="P174" s="23"/>
      <c r="Q174" s="23"/>
      <c r="R174" s="23"/>
      <c r="S174" s="23"/>
      <c r="T174" s="23"/>
      <c r="U174" s="23"/>
      <c r="V174" s="23"/>
      <c r="W174" s="23"/>
      <c r="X174" s="23"/>
    </row>
    <row r="175" spans="1:24" ht="12.95" customHeight="1">
      <c r="A175" s="436"/>
      <c r="B175" s="393" t="str">
        <f>IF(AUX!A200="","",AUX!A200)</f>
        <v/>
      </c>
      <c r="C175" s="252" t="str">
        <f>IF(AUX!F200="","",AUX!F200)</f>
        <v/>
      </c>
      <c r="D175" s="252" t="str">
        <f>IF(AUX!G200="","",AUX!G200)</f>
        <v/>
      </c>
      <c r="E175" s="403" t="str">
        <f>IF(AUX!H200="","",AUX!H200)</f>
        <v/>
      </c>
      <c r="F175" s="403" t="str">
        <f>IF(AUX!I200="","",AUX!I200)</f>
        <v/>
      </c>
      <c r="G175" s="537" t="str">
        <f>IF(AUX!J200="","",AUX!J200)</f>
        <v/>
      </c>
      <c r="H175" s="538" t="str">
        <f>IF(AUX!K200="","",AUX!K200)</f>
        <v/>
      </c>
      <c r="I175" s="538" t="str">
        <f>IF(AUX!L200="","",AUX!L200)</f>
        <v/>
      </c>
      <c r="J175" s="538" t="str">
        <f>IF(AUX!M200="","",AUX!M200)</f>
        <v/>
      </c>
      <c r="K175" s="436"/>
      <c r="M175" s="23"/>
      <c r="N175" s="23"/>
      <c r="O175" s="23"/>
      <c r="P175" s="23"/>
      <c r="Q175" s="23"/>
      <c r="R175" s="23"/>
      <c r="S175" s="23"/>
      <c r="T175" s="23"/>
      <c r="U175" s="23"/>
      <c r="V175" s="23"/>
      <c r="W175" s="23"/>
      <c r="X175" s="23"/>
    </row>
    <row r="176" spans="1:24" ht="12.95" customHeight="1">
      <c r="A176" s="436"/>
      <c r="B176" s="391" t="str">
        <f>IF(AUX!A201="","",AUX!A201)</f>
        <v/>
      </c>
      <c r="C176" s="127" t="str">
        <f>IF(AUX!F201="","",AUX!F201)</f>
        <v/>
      </c>
      <c r="D176" s="127" t="str">
        <f>IF(AUX!G201="","",AUX!G201)</f>
        <v/>
      </c>
      <c r="E176" s="400" t="str">
        <f>IF(AUX!H201="","",AUX!H201)</f>
        <v/>
      </c>
      <c r="F176" s="400" t="str">
        <f>IF(AUX!I201="","",AUX!I201)</f>
        <v/>
      </c>
      <c r="G176" s="533" t="str">
        <f>IF(AUX!J201="","",AUX!J201)</f>
        <v/>
      </c>
      <c r="H176" s="534" t="str">
        <f>IF(AUX!K201="","",AUX!K201)</f>
        <v/>
      </c>
      <c r="I176" s="534" t="str">
        <f>IF(AUX!L201="","",AUX!L201)</f>
        <v/>
      </c>
      <c r="J176" s="534" t="str">
        <f>IF(AUX!M201="","",AUX!M201)</f>
        <v/>
      </c>
      <c r="K176" s="436"/>
      <c r="M176" s="23"/>
      <c r="N176" s="23"/>
      <c r="O176" s="23"/>
      <c r="P176" s="23"/>
      <c r="Q176" s="23"/>
      <c r="R176" s="23"/>
      <c r="S176" s="23"/>
      <c r="T176" s="23"/>
      <c r="U176" s="23"/>
      <c r="V176" s="23"/>
      <c r="W176" s="23"/>
      <c r="X176" s="23"/>
    </row>
    <row r="177" spans="1:24" ht="12.95" customHeight="1">
      <c r="A177" s="436"/>
      <c r="B177" s="393" t="str">
        <f>IF(AUX!A202="","",AUX!A202)</f>
        <v/>
      </c>
      <c r="C177" s="252" t="str">
        <f>IF(AUX!F202="","",AUX!F202)</f>
        <v/>
      </c>
      <c r="D177" s="252" t="str">
        <f>IF(AUX!G202="","",AUX!G202)</f>
        <v/>
      </c>
      <c r="E177" s="403" t="str">
        <f>IF(AUX!H202="","",AUX!H202)</f>
        <v/>
      </c>
      <c r="F177" s="403" t="str">
        <f>IF(AUX!I202="","",AUX!I202)</f>
        <v/>
      </c>
      <c r="G177" s="537" t="str">
        <f>IF(AUX!J202="","",AUX!J202)</f>
        <v/>
      </c>
      <c r="H177" s="538" t="str">
        <f>IF(AUX!K202="","",AUX!K202)</f>
        <v/>
      </c>
      <c r="I177" s="538" t="str">
        <f>IF(AUX!L202="","",AUX!L202)</f>
        <v/>
      </c>
      <c r="J177" s="538" t="str">
        <f>IF(AUX!M202="","",AUX!M202)</f>
        <v/>
      </c>
      <c r="K177" s="436"/>
      <c r="M177" s="23"/>
      <c r="N177" s="23"/>
      <c r="O177" s="23"/>
      <c r="P177" s="23"/>
      <c r="Q177" s="23"/>
      <c r="R177" s="23"/>
      <c r="S177" s="23"/>
      <c r="T177" s="23"/>
      <c r="U177" s="23"/>
      <c r="V177" s="23"/>
      <c r="W177" s="23"/>
      <c r="X177" s="23"/>
    </row>
    <row r="178" spans="1:24" ht="12.95" customHeight="1">
      <c r="A178" s="436"/>
      <c r="B178" s="394" t="str">
        <f>IF(AUX!A203="","",AUX!A203)</f>
        <v/>
      </c>
      <c r="C178" s="365" t="str">
        <f>IF(AUX!F203="","",AUX!F203)</f>
        <v/>
      </c>
      <c r="D178" s="365" t="str">
        <f>IF(AUX!G203="","",AUX!G203)</f>
        <v/>
      </c>
      <c r="E178" s="404" t="str">
        <f>IF(AUX!H203="","",AUX!H203)</f>
        <v/>
      </c>
      <c r="F178" s="404" t="str">
        <f>IF(AUX!I203="","",AUX!I203)</f>
        <v/>
      </c>
      <c r="G178" s="539" t="str">
        <f>IF(AUX!J203="","",AUX!J203)</f>
        <v/>
      </c>
      <c r="H178" s="540" t="str">
        <f>IF(AUX!K203="","",AUX!K203)</f>
        <v/>
      </c>
      <c r="I178" s="540" t="str">
        <f>IF(AUX!L203="","",AUX!L203)</f>
        <v/>
      </c>
      <c r="J178" s="540" t="str">
        <f>IF(AUX!M203="","",AUX!M203)</f>
        <v/>
      </c>
      <c r="K178" s="436"/>
      <c r="M178" s="23"/>
      <c r="N178" s="23"/>
      <c r="O178" s="23"/>
      <c r="P178" s="23"/>
      <c r="Q178" s="23"/>
      <c r="R178" s="23"/>
      <c r="S178" s="23"/>
      <c r="T178" s="23"/>
      <c r="U178" s="23"/>
      <c r="V178" s="23"/>
      <c r="W178" s="23"/>
      <c r="X178" s="23"/>
    </row>
    <row r="179" spans="1:24" ht="14.1" customHeight="1">
      <c r="A179" s="434"/>
      <c r="B179" s="552" t="str">
        <f>IF(AUX!G2=1,"","* Valor para a NUTS II (2001)")</f>
        <v>* Valor para a NUTS II (2001)</v>
      </c>
      <c r="C179" s="552"/>
      <c r="D179" s="552"/>
      <c r="E179" s="552"/>
      <c r="F179" s="552"/>
      <c r="G179" s="552"/>
      <c r="H179" s="651" t="s">
        <v>690</v>
      </c>
      <c r="I179" s="651"/>
      <c r="J179" s="651"/>
      <c r="K179" s="434"/>
    </row>
    <row r="180" spans="1:24" ht="15" customHeight="1">
      <c r="A180" s="434"/>
      <c r="B180" s="434"/>
      <c r="C180" s="434"/>
      <c r="D180" s="434"/>
      <c r="E180" s="434"/>
      <c r="F180" s="434"/>
      <c r="G180" s="434"/>
      <c r="H180" s="434"/>
      <c r="I180" s="434"/>
      <c r="J180" s="434"/>
      <c r="K180" s="434"/>
    </row>
    <row r="181" spans="1:24">
      <c r="A181" s="434"/>
      <c r="B181" s="114" t="s">
        <v>28</v>
      </c>
      <c r="C181" s="434"/>
      <c r="D181" s="434"/>
      <c r="E181" s="434"/>
      <c r="F181" s="434"/>
      <c r="G181" s="434"/>
      <c r="H181" s="434"/>
      <c r="I181" s="434"/>
      <c r="J181" s="434"/>
      <c r="K181" s="434"/>
    </row>
    <row r="182" spans="1:24" ht="20.100000000000001" customHeight="1">
      <c r="A182" s="19"/>
      <c r="B182" s="19"/>
      <c r="C182" s="19"/>
      <c r="D182" s="19"/>
      <c r="E182" s="19"/>
      <c r="F182" s="19"/>
      <c r="G182" s="19"/>
      <c r="H182" s="19"/>
      <c r="I182" s="19"/>
      <c r="J182" s="19"/>
      <c r="K182" s="19"/>
    </row>
    <row r="183" spans="1:24" ht="20.100000000000001" customHeight="1" thickBot="1">
      <c r="A183" s="19"/>
      <c r="B183" s="702" t="s">
        <v>508</v>
      </c>
      <c r="C183" s="702"/>
      <c r="D183" s="702"/>
      <c r="E183" s="702"/>
      <c r="F183" s="702"/>
      <c r="G183" s="702"/>
      <c r="H183" s="702"/>
      <c r="I183" s="702"/>
      <c r="J183" s="702"/>
      <c r="K183" s="19"/>
    </row>
    <row r="184" spans="1:24" ht="9.9499999999999993" customHeight="1">
      <c r="A184" s="19"/>
      <c r="B184" s="19"/>
      <c r="C184" s="19"/>
      <c r="D184" s="19"/>
      <c r="E184" s="19"/>
      <c r="F184" s="19"/>
      <c r="G184" s="19"/>
      <c r="H184" s="19"/>
      <c r="I184" s="19"/>
      <c r="J184" s="19"/>
      <c r="K184" s="19"/>
    </row>
    <row r="185" spans="1:24" ht="15.95" customHeight="1">
      <c r="A185" s="19"/>
      <c r="B185" s="706" t="s">
        <v>509</v>
      </c>
      <c r="C185" s="706"/>
      <c r="D185" s="706"/>
      <c r="E185" s="706"/>
      <c r="F185" s="706"/>
      <c r="G185" s="706"/>
      <c r="H185" s="706"/>
      <c r="I185" s="706"/>
      <c r="J185" s="706"/>
      <c r="K185" s="19"/>
    </row>
    <row r="186" spans="1:24" ht="5.0999999999999996" customHeight="1">
      <c r="A186" s="19"/>
      <c r="B186" s="19"/>
      <c r="C186" s="19"/>
      <c r="D186" s="19"/>
      <c r="E186" s="19"/>
      <c r="F186" s="19"/>
      <c r="G186" s="19"/>
      <c r="H186" s="19"/>
      <c r="I186" s="19"/>
      <c r="J186" s="19"/>
      <c r="K186" s="19"/>
    </row>
    <row r="187" spans="1:24" ht="15.95" customHeight="1">
      <c r="A187" s="22"/>
      <c r="B187" s="718" t="s">
        <v>8</v>
      </c>
      <c r="C187" s="712" t="s">
        <v>498</v>
      </c>
      <c r="D187" s="713"/>
      <c r="E187" s="713"/>
      <c r="F187" s="447"/>
      <c r="G187" s="448"/>
      <c r="H187" s="720"/>
      <c r="I187" s="720"/>
      <c r="J187" s="720"/>
      <c r="K187" s="22"/>
    </row>
    <row r="188" spans="1:24" ht="30" customHeight="1">
      <c r="A188" s="22"/>
      <c r="B188" s="718"/>
      <c r="C188" s="717" t="s">
        <v>510</v>
      </c>
      <c r="D188" s="717" t="s">
        <v>511</v>
      </c>
      <c r="E188" s="717" t="s">
        <v>512</v>
      </c>
      <c r="F188" s="447"/>
      <c r="G188" s="448"/>
      <c r="H188" s="701"/>
      <c r="I188" s="701"/>
      <c r="J188" s="701"/>
      <c r="K188" s="22"/>
    </row>
    <row r="189" spans="1:24" ht="15.95" customHeight="1">
      <c r="A189" s="22"/>
      <c r="B189" s="718"/>
      <c r="C189" s="717"/>
      <c r="D189" s="717"/>
      <c r="E189" s="717"/>
      <c r="F189" s="449"/>
      <c r="G189" s="448"/>
      <c r="H189" s="701"/>
      <c r="I189" s="701"/>
      <c r="J189" s="701"/>
      <c r="K189" s="22"/>
    </row>
    <row r="190" spans="1:24" ht="18" customHeight="1">
      <c r="A190" s="22"/>
      <c r="B190" s="36" t="s">
        <v>16</v>
      </c>
      <c r="C190" s="228">
        <f>AUX!N186</f>
        <v>95.182321477673753</v>
      </c>
      <c r="D190" s="228">
        <f>AUX!O186</f>
        <v>82.849050398611325</v>
      </c>
      <c r="E190" s="228">
        <f>AUX!P186</f>
        <v>72.619635504227304</v>
      </c>
      <c r="F190" s="403"/>
      <c r="G190" s="246"/>
      <c r="H190" s="244"/>
      <c r="I190" s="244"/>
      <c r="J190" s="244"/>
      <c r="K190" s="22"/>
      <c r="M190" s="23"/>
      <c r="N190" s="23"/>
      <c r="O190" s="23"/>
      <c r="P190" s="23"/>
      <c r="Q190" s="23"/>
      <c r="R190" s="23"/>
      <c r="S190" s="23"/>
      <c r="T190" s="23"/>
      <c r="U190" s="23"/>
      <c r="V190" s="23"/>
      <c r="W190" s="23"/>
      <c r="X190" s="23"/>
    </row>
    <row r="191" spans="1:24" ht="18" customHeight="1">
      <c r="A191" s="22"/>
      <c r="B191" s="126">
        <f>AUX!A2</f>
        <v>0</v>
      </c>
      <c r="C191" s="230">
        <f>AUX!N187</f>
        <v>0</v>
      </c>
      <c r="D191" s="230">
        <f>AUX!O187</f>
        <v>0</v>
      </c>
      <c r="E191" s="230">
        <f>AUX!P187</f>
        <v>0</v>
      </c>
      <c r="F191" s="403"/>
      <c r="G191" s="246"/>
      <c r="H191" s="244"/>
      <c r="I191" s="244"/>
      <c r="J191" s="244"/>
      <c r="K191" s="22"/>
      <c r="M191" s="23"/>
      <c r="N191" s="23"/>
      <c r="O191" s="23"/>
      <c r="P191" s="23"/>
      <c r="Q191" s="23"/>
      <c r="R191" s="23"/>
      <c r="S191" s="23"/>
      <c r="T191" s="23"/>
      <c r="U191" s="23"/>
      <c r="V191" s="23"/>
      <c r="W191" s="23"/>
      <c r="X191" s="23"/>
    </row>
    <row r="192" spans="1:24" ht="15.95" customHeight="1">
      <c r="A192" s="22"/>
      <c r="B192" s="601">
        <f>IF(AUX!A188="","",AUX!A188)</f>
        <v>0</v>
      </c>
      <c r="C192" s="366" t="str">
        <f>IF(AUX!N188="","",AUX!N188)</f>
        <v/>
      </c>
      <c r="D192" s="366" t="str">
        <f>IF(AUX!O188="","",AUX!O188)</f>
        <v/>
      </c>
      <c r="E192" s="366" t="str">
        <f>IF(AUX!P188="","",AUX!P188)</f>
        <v/>
      </c>
      <c r="F192" s="450"/>
      <c r="G192" s="250"/>
      <c r="H192" s="248"/>
      <c r="I192" s="248"/>
      <c r="J192" s="248"/>
      <c r="K192" s="22"/>
      <c r="M192" s="23"/>
      <c r="N192" s="23"/>
      <c r="O192" s="23"/>
      <c r="P192" s="23"/>
      <c r="Q192" s="23"/>
      <c r="R192" s="23"/>
      <c r="S192" s="23"/>
      <c r="T192" s="23"/>
      <c r="U192" s="23"/>
      <c r="V192" s="23"/>
      <c r="W192" s="23"/>
      <c r="X192" s="23"/>
    </row>
    <row r="193" spans="1:24" ht="12.95" customHeight="1">
      <c r="A193" s="22"/>
      <c r="B193" s="391" t="str">
        <f>IF(AUX!A189="","",AUX!A189)</f>
        <v/>
      </c>
      <c r="C193" s="230" t="str">
        <f>IF(AUX!N189="","",AUX!N189)</f>
        <v/>
      </c>
      <c r="D193" s="230" t="str">
        <f>IF(AUX!O189="","",AUX!O189)</f>
        <v/>
      </c>
      <c r="E193" s="230" t="str">
        <f>IF(AUX!P189="","",AUX!P189)</f>
        <v/>
      </c>
      <c r="F193" s="403"/>
      <c r="G193" s="246"/>
      <c r="H193" s="244"/>
      <c r="I193" s="244"/>
      <c r="J193" s="244"/>
      <c r="K193" s="22"/>
      <c r="M193" s="23"/>
      <c r="N193" s="23"/>
      <c r="O193" s="23"/>
      <c r="P193" s="23"/>
      <c r="Q193" s="23"/>
      <c r="R193" s="23"/>
      <c r="S193" s="23"/>
      <c r="T193" s="23"/>
      <c r="U193" s="23"/>
      <c r="V193" s="23"/>
      <c r="W193" s="23"/>
      <c r="X193" s="23"/>
    </row>
    <row r="194" spans="1:24" ht="12.95" customHeight="1">
      <c r="A194" s="22"/>
      <c r="B194" s="392" t="str">
        <f>IF(AUX!A190="","",AUX!A190)</f>
        <v/>
      </c>
      <c r="C194" s="367" t="str">
        <f>IF(AUX!N190="","",AUX!N190)</f>
        <v/>
      </c>
      <c r="D194" s="367" t="str">
        <f>IF(AUX!O190="","",AUX!O190)</f>
        <v/>
      </c>
      <c r="E194" s="367" t="str">
        <f>IF(AUX!P190="","",AUX!P190)</f>
        <v/>
      </c>
      <c r="F194" s="403"/>
      <c r="G194" s="246"/>
      <c r="H194" s="244"/>
      <c r="I194" s="244"/>
      <c r="J194" s="244"/>
      <c r="K194" s="22"/>
      <c r="M194" s="23"/>
      <c r="N194" s="23"/>
      <c r="O194" s="23"/>
      <c r="P194" s="23"/>
      <c r="Q194" s="23"/>
      <c r="R194" s="23"/>
      <c r="S194" s="23"/>
      <c r="T194" s="23"/>
      <c r="U194" s="23"/>
      <c r="V194" s="23"/>
      <c r="W194" s="23"/>
      <c r="X194" s="23"/>
    </row>
    <row r="195" spans="1:24" ht="12.95" customHeight="1">
      <c r="A195" s="22"/>
      <c r="B195" s="391" t="str">
        <f>IF(AUX!A191="","",AUX!A191)</f>
        <v/>
      </c>
      <c r="C195" s="230" t="str">
        <f>IF(AUX!N191="","",AUX!N191)</f>
        <v/>
      </c>
      <c r="D195" s="230" t="str">
        <f>IF(AUX!O191="","",AUX!O191)</f>
        <v/>
      </c>
      <c r="E195" s="230" t="str">
        <f>IF(AUX!P191="","",AUX!P191)</f>
        <v/>
      </c>
      <c r="F195" s="403"/>
      <c r="G195" s="246"/>
      <c r="H195" s="244"/>
      <c r="I195" s="244"/>
      <c r="J195" s="244"/>
      <c r="K195" s="22"/>
      <c r="M195" s="23"/>
      <c r="N195" s="23"/>
      <c r="O195" s="23"/>
      <c r="P195" s="23"/>
      <c r="Q195" s="23"/>
      <c r="R195" s="23"/>
      <c r="S195" s="23"/>
      <c r="T195" s="23"/>
      <c r="U195" s="23"/>
      <c r="V195" s="23"/>
      <c r="W195" s="23"/>
      <c r="X195" s="23"/>
    </row>
    <row r="196" spans="1:24" ht="12.95" customHeight="1">
      <c r="A196" s="22"/>
      <c r="B196" s="392" t="str">
        <f>IF(AUX!A192="","",AUX!A192)</f>
        <v/>
      </c>
      <c r="C196" s="367" t="str">
        <f>IF(AUX!N192="","",AUX!N192)</f>
        <v/>
      </c>
      <c r="D196" s="367" t="str">
        <f>IF(AUX!O192="","",AUX!O192)</f>
        <v/>
      </c>
      <c r="E196" s="367" t="str">
        <f>IF(AUX!P192="","",AUX!P192)</f>
        <v/>
      </c>
      <c r="F196" s="403"/>
      <c r="G196" s="246"/>
      <c r="H196" s="244"/>
      <c r="I196" s="244"/>
      <c r="J196" s="244"/>
      <c r="K196" s="22"/>
      <c r="M196" s="23"/>
      <c r="N196" s="23"/>
      <c r="O196" s="23"/>
      <c r="P196" s="23"/>
      <c r="Q196" s="23"/>
      <c r="R196" s="23"/>
      <c r="S196" s="23"/>
      <c r="T196" s="23"/>
      <c r="U196" s="23"/>
      <c r="V196" s="23"/>
      <c r="W196" s="23"/>
      <c r="X196" s="23"/>
    </row>
    <row r="197" spans="1:24" ht="12.95" customHeight="1">
      <c r="A197" s="22"/>
      <c r="B197" s="391" t="str">
        <f>IF(AUX!A193="","",AUX!A193)</f>
        <v/>
      </c>
      <c r="C197" s="230" t="str">
        <f>IF(AUX!N193="","",AUX!N193)</f>
        <v/>
      </c>
      <c r="D197" s="230" t="str">
        <f>IF(AUX!O193="","",AUX!O193)</f>
        <v/>
      </c>
      <c r="E197" s="230" t="str">
        <f>IF(AUX!P193="","",AUX!P193)</f>
        <v/>
      </c>
      <c r="F197" s="403"/>
      <c r="G197" s="246"/>
      <c r="H197" s="244"/>
      <c r="I197" s="244"/>
      <c r="J197" s="244"/>
      <c r="K197" s="22"/>
      <c r="M197" s="23"/>
      <c r="N197" s="23"/>
      <c r="O197" s="23"/>
      <c r="P197" s="23"/>
      <c r="Q197" s="23"/>
      <c r="R197" s="23"/>
      <c r="S197" s="23"/>
      <c r="T197" s="23"/>
      <c r="U197" s="23"/>
      <c r="V197" s="23"/>
      <c r="W197" s="23"/>
      <c r="X197" s="23"/>
    </row>
    <row r="198" spans="1:24" ht="12.95" customHeight="1">
      <c r="A198" s="22"/>
      <c r="B198" s="392" t="str">
        <f>IF(AUX!A194="","",AUX!A194)</f>
        <v/>
      </c>
      <c r="C198" s="367" t="str">
        <f>IF(AUX!N194="","",AUX!N194)</f>
        <v/>
      </c>
      <c r="D198" s="367" t="str">
        <f>IF(AUX!O194="","",AUX!O194)</f>
        <v/>
      </c>
      <c r="E198" s="367" t="str">
        <f>IF(AUX!P194="","",AUX!P194)</f>
        <v/>
      </c>
      <c r="F198" s="403"/>
      <c r="G198" s="246"/>
      <c r="H198" s="244"/>
      <c r="I198" s="244"/>
      <c r="J198" s="244"/>
      <c r="K198" s="22"/>
      <c r="M198" s="23"/>
      <c r="N198" s="23"/>
      <c r="O198" s="23"/>
      <c r="P198" s="23"/>
      <c r="Q198" s="23"/>
      <c r="R198" s="23"/>
      <c r="S198" s="23"/>
      <c r="T198" s="23"/>
      <c r="U198" s="23"/>
      <c r="V198" s="23"/>
      <c r="W198" s="23"/>
      <c r="X198" s="23"/>
    </row>
    <row r="199" spans="1:24" ht="12.95" customHeight="1">
      <c r="A199" s="22"/>
      <c r="B199" s="391" t="str">
        <f>IF(AUX!A195="","",AUX!A195)</f>
        <v/>
      </c>
      <c r="C199" s="230" t="str">
        <f>IF(AUX!N195="","",AUX!N195)</f>
        <v/>
      </c>
      <c r="D199" s="230" t="str">
        <f>IF(AUX!O195="","",AUX!O195)</f>
        <v/>
      </c>
      <c r="E199" s="230" t="str">
        <f>IF(AUX!P195="","",AUX!P195)</f>
        <v/>
      </c>
      <c r="F199" s="403"/>
      <c r="G199" s="246"/>
      <c r="H199" s="244"/>
      <c r="I199" s="244"/>
      <c r="J199" s="244"/>
      <c r="K199" s="22"/>
      <c r="M199" s="23"/>
      <c r="N199" s="23"/>
      <c r="O199" s="23"/>
      <c r="P199" s="23"/>
      <c r="Q199" s="23"/>
      <c r="R199" s="23"/>
      <c r="S199" s="23"/>
      <c r="T199" s="23"/>
      <c r="U199" s="23"/>
      <c r="V199" s="23"/>
      <c r="W199" s="23"/>
      <c r="X199" s="23"/>
    </row>
    <row r="200" spans="1:24" ht="12.95" customHeight="1">
      <c r="A200" s="22"/>
      <c r="B200" s="392" t="str">
        <f>IF(AUX!A196="","",AUX!A196)</f>
        <v/>
      </c>
      <c r="C200" s="367" t="str">
        <f>IF(AUX!N196="","",AUX!N196)</f>
        <v/>
      </c>
      <c r="D200" s="367" t="str">
        <f>IF(AUX!O196="","",AUX!O196)</f>
        <v/>
      </c>
      <c r="E200" s="367" t="str">
        <f>IF(AUX!P196="","",AUX!P196)</f>
        <v/>
      </c>
      <c r="F200" s="403"/>
      <c r="G200" s="246"/>
      <c r="H200" s="244"/>
      <c r="I200" s="244"/>
      <c r="J200" s="244"/>
      <c r="K200" s="22"/>
      <c r="M200" s="23"/>
      <c r="N200" s="23"/>
      <c r="O200" s="23"/>
      <c r="P200" s="23"/>
      <c r="Q200" s="23"/>
      <c r="R200" s="23"/>
      <c r="S200" s="23"/>
      <c r="T200" s="23"/>
      <c r="U200" s="23"/>
      <c r="V200" s="23"/>
      <c r="W200" s="23"/>
      <c r="X200" s="23"/>
    </row>
    <row r="201" spans="1:24" ht="12.95" customHeight="1">
      <c r="A201" s="22"/>
      <c r="B201" s="391" t="str">
        <f>IF(AUX!A197="","",AUX!A197)</f>
        <v/>
      </c>
      <c r="C201" s="230" t="str">
        <f>IF(AUX!N197="","",AUX!N197)</f>
        <v/>
      </c>
      <c r="D201" s="230" t="str">
        <f>IF(AUX!O197="","",AUX!O197)</f>
        <v/>
      </c>
      <c r="E201" s="230" t="str">
        <f>IF(AUX!P197="","",AUX!P197)</f>
        <v/>
      </c>
      <c r="F201" s="403"/>
      <c r="G201" s="246"/>
      <c r="H201" s="244"/>
      <c r="I201" s="244"/>
      <c r="J201" s="244"/>
      <c r="K201" s="22"/>
      <c r="M201" s="23"/>
      <c r="N201" s="23"/>
      <c r="O201" s="23"/>
      <c r="P201" s="23"/>
      <c r="Q201" s="23"/>
      <c r="R201" s="23"/>
      <c r="S201" s="23"/>
      <c r="T201" s="23"/>
      <c r="U201" s="23"/>
      <c r="V201" s="23"/>
      <c r="W201" s="23"/>
      <c r="X201" s="23"/>
    </row>
    <row r="202" spans="1:24" ht="12.95" customHeight="1">
      <c r="A202" s="364"/>
      <c r="B202" s="393" t="str">
        <f>IF(AUX!A198="","",AUX!A198)</f>
        <v/>
      </c>
      <c r="C202" s="368" t="str">
        <f>IF(AUX!N198="","",AUX!N198)</f>
        <v/>
      </c>
      <c r="D202" s="368" t="str">
        <f>IF(AUX!O198="","",AUX!O198)</f>
        <v/>
      </c>
      <c r="E202" s="368" t="str">
        <f>IF(AUX!P198="","",AUX!P198)</f>
        <v/>
      </c>
      <c r="F202" s="403"/>
      <c r="G202" s="246"/>
      <c r="H202" s="244"/>
      <c r="I202" s="244"/>
      <c r="J202" s="244"/>
      <c r="K202" s="364"/>
      <c r="M202" s="23"/>
      <c r="N202" s="23"/>
      <c r="O202" s="23"/>
      <c r="P202" s="23"/>
      <c r="Q202" s="23"/>
      <c r="R202" s="23"/>
      <c r="S202" s="23"/>
      <c r="T202" s="23"/>
      <c r="U202" s="23"/>
      <c r="V202" s="23"/>
      <c r="W202" s="23"/>
      <c r="X202" s="23"/>
    </row>
    <row r="203" spans="1:24" ht="12.95" customHeight="1">
      <c r="A203" s="436"/>
      <c r="B203" s="391" t="str">
        <f>IF(AUX!A199="","",AUX!A199)</f>
        <v/>
      </c>
      <c r="C203" s="230" t="str">
        <f>IF(AUX!N199="","",AUX!N199)</f>
        <v/>
      </c>
      <c r="D203" s="230" t="str">
        <f>IF(AUX!O199="","",AUX!O199)</f>
        <v/>
      </c>
      <c r="E203" s="230" t="str">
        <f>IF(AUX!P199="","",AUX!P199)</f>
        <v/>
      </c>
      <c r="F203" s="403"/>
      <c r="G203" s="246"/>
      <c r="H203" s="244"/>
      <c r="I203" s="244"/>
      <c r="J203" s="244"/>
      <c r="K203" s="436"/>
      <c r="M203" s="23"/>
      <c r="N203" s="23"/>
      <c r="O203" s="23"/>
      <c r="P203" s="23"/>
      <c r="Q203" s="23"/>
      <c r="R203" s="23"/>
      <c r="S203" s="23"/>
      <c r="T203" s="23"/>
      <c r="U203" s="23"/>
      <c r="V203" s="23"/>
      <c r="W203" s="23"/>
      <c r="X203" s="23"/>
    </row>
    <row r="204" spans="1:24" ht="12.95" customHeight="1">
      <c r="A204" s="436"/>
      <c r="B204" s="393" t="str">
        <f>IF(AUX!A200="","",AUX!A200)</f>
        <v/>
      </c>
      <c r="C204" s="368" t="str">
        <f>IF(AUX!N200="","",AUX!N200)</f>
        <v/>
      </c>
      <c r="D204" s="368" t="str">
        <f>IF(AUX!O200="","",AUX!O200)</f>
        <v/>
      </c>
      <c r="E204" s="368" t="str">
        <f>IF(AUX!P200="","",AUX!P200)</f>
        <v/>
      </c>
      <c r="F204" s="403"/>
      <c r="G204" s="246"/>
      <c r="H204" s="244"/>
      <c r="I204" s="244"/>
      <c r="J204" s="244"/>
      <c r="K204" s="436"/>
      <c r="M204" s="23"/>
      <c r="N204" s="23"/>
      <c r="O204" s="23"/>
      <c r="P204" s="23"/>
      <c r="Q204" s="23"/>
      <c r="R204" s="23"/>
      <c r="S204" s="23"/>
      <c r="T204" s="23"/>
      <c r="U204" s="23"/>
      <c r="V204" s="23"/>
      <c r="W204" s="23"/>
      <c r="X204" s="23"/>
    </row>
    <row r="205" spans="1:24" ht="12.95" customHeight="1">
      <c r="A205" s="364"/>
      <c r="B205" s="391" t="str">
        <f>IF(AUX!A201="","",AUX!A201)</f>
        <v/>
      </c>
      <c r="C205" s="230" t="str">
        <f>IF(AUX!N201="","",AUX!N201)</f>
        <v/>
      </c>
      <c r="D205" s="230" t="str">
        <f>IF(AUX!O201="","",AUX!O201)</f>
        <v/>
      </c>
      <c r="E205" s="230" t="str">
        <f>IF(AUX!P201="","",AUX!P201)</f>
        <v/>
      </c>
      <c r="F205" s="403"/>
      <c r="G205" s="246"/>
      <c r="H205" s="244"/>
      <c r="I205" s="244"/>
      <c r="J205" s="244"/>
      <c r="K205" s="364"/>
      <c r="M205" s="23"/>
      <c r="N205" s="23"/>
      <c r="O205" s="23"/>
      <c r="P205" s="23"/>
      <c r="Q205" s="23"/>
      <c r="R205" s="23"/>
      <c r="S205" s="23"/>
      <c r="T205" s="23"/>
      <c r="U205" s="23"/>
      <c r="V205" s="23"/>
      <c r="W205" s="23"/>
      <c r="X205" s="23"/>
    </row>
    <row r="206" spans="1:24" ht="12.95" customHeight="1">
      <c r="A206" s="364"/>
      <c r="B206" s="393" t="str">
        <f>IF(AUX!A202="","",AUX!A202)</f>
        <v/>
      </c>
      <c r="C206" s="368" t="str">
        <f>IF(AUX!N202="","",AUX!N202)</f>
        <v/>
      </c>
      <c r="D206" s="368" t="str">
        <f>IF(AUX!O202="","",AUX!O202)</f>
        <v/>
      </c>
      <c r="E206" s="368" t="str">
        <f>IF(AUX!P202="","",AUX!P202)</f>
        <v/>
      </c>
      <c r="F206" s="403"/>
      <c r="G206" s="246"/>
      <c r="H206" s="244"/>
      <c r="I206" s="244"/>
      <c r="J206" s="244"/>
      <c r="K206" s="364"/>
      <c r="M206" s="23"/>
      <c r="N206" s="23"/>
      <c r="O206" s="23"/>
      <c r="P206" s="23"/>
      <c r="Q206" s="23"/>
      <c r="R206" s="23"/>
      <c r="S206" s="23"/>
      <c r="T206" s="23"/>
      <c r="U206" s="23"/>
      <c r="V206" s="23"/>
      <c r="W206" s="23"/>
      <c r="X206" s="23"/>
    </row>
    <row r="207" spans="1:24" ht="12.95" customHeight="1">
      <c r="A207" s="22"/>
      <c r="B207" s="394" t="str">
        <f>IF(AUX!A203="","",AUX!A203)</f>
        <v/>
      </c>
      <c r="C207" s="369" t="str">
        <f>IF(AUX!N203="","",AUX!N203)</f>
        <v/>
      </c>
      <c r="D207" s="369" t="str">
        <f>IF(AUX!O203="","",AUX!O203)</f>
        <v/>
      </c>
      <c r="E207" s="369" t="str">
        <f>IF(AUX!P203="","",AUX!P203)</f>
        <v/>
      </c>
      <c r="F207" s="699" t="s">
        <v>690</v>
      </c>
      <c r="G207" s="700"/>
      <c r="H207" s="700"/>
      <c r="I207" s="244"/>
      <c r="J207" s="244"/>
      <c r="K207" s="22"/>
      <c r="M207" s="23"/>
      <c r="N207" s="23"/>
      <c r="O207" s="23"/>
      <c r="P207" s="23"/>
      <c r="Q207" s="23"/>
      <c r="R207" s="23"/>
      <c r="S207" s="23"/>
      <c r="T207" s="23"/>
      <c r="U207" s="23"/>
      <c r="V207" s="23"/>
      <c r="W207" s="23"/>
      <c r="X207" s="23"/>
    </row>
    <row r="208" spans="1:24" ht="24.95" customHeight="1">
      <c r="A208" s="19"/>
      <c r="B208" s="711" t="s">
        <v>267</v>
      </c>
      <c r="C208" s="711"/>
      <c r="D208" s="711"/>
      <c r="E208" s="711"/>
      <c r="F208" s="451"/>
      <c r="G208" s="451"/>
      <c r="H208" s="451"/>
      <c r="I208" s="451"/>
      <c r="K208" s="19"/>
    </row>
    <row r="209" spans="1:11" ht="15" customHeight="1">
      <c r="A209" s="405"/>
      <c r="B209" s="405"/>
      <c r="C209" s="405"/>
      <c r="D209" s="405"/>
      <c r="E209" s="405"/>
      <c r="F209" s="405"/>
      <c r="G209" s="405"/>
      <c r="H209" s="405"/>
      <c r="I209" s="405"/>
      <c r="J209" s="405"/>
      <c r="K209" s="405"/>
    </row>
    <row r="210" spans="1:11">
      <c r="A210" s="19"/>
      <c r="B210" s="114" t="s">
        <v>28</v>
      </c>
      <c r="C210" s="19"/>
      <c r="D210" s="19"/>
      <c r="E210" s="19"/>
      <c r="F210" s="19"/>
      <c r="G210" s="19"/>
      <c r="H210" s="19"/>
      <c r="I210" s="19"/>
      <c r="J210" s="19"/>
      <c r="K210" s="19"/>
    </row>
    <row r="211" spans="1:11" ht="20.100000000000001" customHeight="1">
      <c r="A211" s="19"/>
      <c r="B211" s="19"/>
      <c r="C211" s="19"/>
      <c r="D211" s="19"/>
      <c r="E211" s="19"/>
      <c r="F211" s="19"/>
      <c r="G211" s="19"/>
      <c r="H211" s="19"/>
      <c r="I211" s="19"/>
      <c r="J211" s="19"/>
      <c r="K211" s="19"/>
    </row>
    <row r="212" spans="1:11" ht="15" customHeight="1">
      <c r="A212" s="19"/>
      <c r="B212" s="19"/>
      <c r="C212" s="19"/>
      <c r="D212" s="19"/>
      <c r="E212" s="19"/>
      <c r="F212" s="19"/>
      <c r="G212" s="19"/>
      <c r="H212" s="19"/>
      <c r="I212" s="19"/>
      <c r="J212" s="19"/>
      <c r="K212" s="19"/>
    </row>
    <row r="213" spans="1:11" ht="15" customHeight="1">
      <c r="A213" s="19"/>
      <c r="B213" s="19"/>
      <c r="C213" s="19"/>
      <c r="D213" s="19"/>
      <c r="E213" s="19"/>
      <c r="F213" s="19"/>
      <c r="G213" s="19"/>
      <c r="H213" s="19"/>
      <c r="I213" s="19"/>
      <c r="J213" s="19"/>
      <c r="K213" s="19"/>
    </row>
    <row r="214" spans="1:11" ht="15" customHeight="1">
      <c r="A214" s="19"/>
      <c r="B214" s="19"/>
      <c r="C214" s="19"/>
      <c r="D214" s="19"/>
      <c r="E214" s="19"/>
      <c r="F214" s="19"/>
      <c r="G214" s="19"/>
      <c r="H214" s="19"/>
      <c r="I214" s="19"/>
      <c r="J214" s="19"/>
      <c r="K214" s="19"/>
    </row>
    <row r="215" spans="1:11" ht="15" customHeight="1" thickBot="1">
      <c r="A215" s="19"/>
      <c r="B215" s="19"/>
      <c r="C215" s="19"/>
      <c r="D215" s="19"/>
      <c r="E215" s="19"/>
      <c r="F215" s="19"/>
      <c r="G215" s="19"/>
      <c r="H215" s="19"/>
      <c r="I215" s="19"/>
      <c r="J215" s="19"/>
      <c r="K215" s="19"/>
    </row>
    <row r="216" spans="1:11" ht="9.9499999999999993" customHeight="1">
      <c r="A216" s="19"/>
      <c r="B216" s="705"/>
      <c r="C216" s="705"/>
      <c r="D216" s="705"/>
      <c r="E216" s="705"/>
      <c r="F216" s="705"/>
      <c r="G216" s="705"/>
      <c r="H216" s="705"/>
      <c r="I216" s="705"/>
      <c r="J216" s="705"/>
      <c r="K216" s="19"/>
    </row>
  </sheetData>
  <mergeCells count="78">
    <mergeCell ref="B14:J14"/>
    <mergeCell ref="B34:D34"/>
    <mergeCell ref="B2:D2"/>
    <mergeCell ref="B6:J6"/>
    <mergeCell ref="B7:H7"/>
    <mergeCell ref="F16:J16"/>
    <mergeCell ref="B8:H8"/>
    <mergeCell ref="B9:H9"/>
    <mergeCell ref="B16:E16"/>
    <mergeCell ref="H2:J2"/>
    <mergeCell ref="B10:H10"/>
    <mergeCell ref="B12:H12"/>
    <mergeCell ref="B19:E19"/>
    <mergeCell ref="B25:E25"/>
    <mergeCell ref="B11:H11"/>
    <mergeCell ref="C33:E33"/>
    <mergeCell ref="B57:E57"/>
    <mergeCell ref="B87:E87"/>
    <mergeCell ref="F87:J87"/>
    <mergeCell ref="H80:I80"/>
    <mergeCell ref="C80:D80"/>
    <mergeCell ref="B60:E60"/>
    <mergeCell ref="B64:E64"/>
    <mergeCell ref="B76:J76"/>
    <mergeCell ref="B78:J78"/>
    <mergeCell ref="B80:B81"/>
    <mergeCell ref="E80:G80"/>
    <mergeCell ref="C68:E68"/>
    <mergeCell ref="H74:J74"/>
    <mergeCell ref="F85:I85"/>
    <mergeCell ref="F55:J55"/>
    <mergeCell ref="H187:J187"/>
    <mergeCell ref="B155:J155"/>
    <mergeCell ref="B157:J157"/>
    <mergeCell ref="B159:B160"/>
    <mergeCell ref="B119:E119"/>
    <mergeCell ref="B111:E111"/>
    <mergeCell ref="B108:E108"/>
    <mergeCell ref="F108:J108"/>
    <mergeCell ref="B115:E115"/>
    <mergeCell ref="G129:J129"/>
    <mergeCell ref="B129:F129"/>
    <mergeCell ref="B85:E85"/>
    <mergeCell ref="B127:J127"/>
    <mergeCell ref="B106:J106"/>
    <mergeCell ref="F57:J57"/>
    <mergeCell ref="B216:J216"/>
    <mergeCell ref="B185:J185"/>
    <mergeCell ref="C131:D131"/>
    <mergeCell ref="E131:F131"/>
    <mergeCell ref="B131:B132"/>
    <mergeCell ref="B208:E208"/>
    <mergeCell ref="C159:F159"/>
    <mergeCell ref="G159:J159"/>
    <mergeCell ref="C187:E187"/>
    <mergeCell ref="C188:C189"/>
    <mergeCell ref="D188:D189"/>
    <mergeCell ref="E188:E189"/>
    <mergeCell ref="B187:B189"/>
    <mergeCell ref="J188:J189"/>
    <mergeCell ref="H188:H189"/>
    <mergeCell ref="H34:J34"/>
    <mergeCell ref="C53:E53"/>
    <mergeCell ref="H53:J53"/>
    <mergeCell ref="B54:D54"/>
    <mergeCell ref="B36:E36"/>
    <mergeCell ref="F36:J36"/>
    <mergeCell ref="C103:E103"/>
    <mergeCell ref="H103:J103"/>
    <mergeCell ref="B75:D75"/>
    <mergeCell ref="F207:H207"/>
    <mergeCell ref="C123:E123"/>
    <mergeCell ref="H125:J125"/>
    <mergeCell ref="D151:F151"/>
    <mergeCell ref="H150:J150"/>
    <mergeCell ref="H179:J179"/>
    <mergeCell ref="I188:I189"/>
    <mergeCell ref="B183:J183"/>
  </mergeCells>
  <hyperlinks>
    <hyperlink ref="B4" location="INDICE!A1" display="Índice"/>
    <hyperlink ref="B210" location="'B01'!A1" display="Topo"/>
    <hyperlink ref="B153" location="'B01'!A1" display="Topo"/>
    <hyperlink ref="B55" location="'B01'!A1" display="Topo"/>
    <hyperlink ref="B7:H7" location="'B01'!A14" display="Situação Perante o Emprego"/>
    <hyperlink ref="B10:H10" location="'B01'!A127" display="Educação"/>
    <hyperlink ref="B8:H8" location="'B01'!A76" display="Suporte Social"/>
    <hyperlink ref="B104" location="'B01'!A1" display="Topo"/>
    <hyperlink ref="B125" location="'B01'!A1" display="Topo"/>
    <hyperlink ref="B9:H9" location="'B01'!A106" display="Segurança"/>
    <hyperlink ref="B12:H12" location="'B01'!A183" display="Ambiente / Infraestruturas"/>
    <hyperlink ref="B74" location="'B01'!A1" display="Topo"/>
    <hyperlink ref="B181" location="'B01'!A1" display="Topo"/>
    <hyperlink ref="B11:H11" location="'B01'!A155" display="Economia"/>
  </hyperlinks>
  <pageMargins left="0.39370078740157483" right="0.19685039370078741" top="0.59055118110236227" bottom="0.39370078740157483" header="0.31496062992125984" footer="0.31496062992125984"/>
  <pageSetup paperSize="9" scale="64" orientation="portrait" r:id="rId1"/>
  <rowBreaks count="2" manualBreakCount="2">
    <brk id="74" max="16383" man="1"/>
    <brk id="154" max="16383" man="1"/>
  </rowBreaks>
  <drawing r:id="rId2"/>
</worksheet>
</file>

<file path=xl/worksheets/sheet7.xml><?xml version="1.0" encoding="utf-8"?>
<worksheet xmlns="http://schemas.openxmlformats.org/spreadsheetml/2006/main" xmlns:r="http://schemas.openxmlformats.org/officeDocument/2006/relationships">
  <sheetPr codeName="Folha6">
    <pageSetUpPr fitToPage="1"/>
  </sheetPr>
  <dimension ref="A1:O76"/>
  <sheetViews>
    <sheetView zoomScaleNormal="100" workbookViewId="0"/>
  </sheetViews>
  <sheetFormatPr defaultRowHeight="14.25"/>
  <cols>
    <col min="1" max="1" width="2.7109375" style="6" customWidth="1"/>
    <col min="2" max="2" width="26.28515625" style="6" customWidth="1"/>
    <col min="3" max="7" width="9.140625" style="6" customWidth="1"/>
    <col min="8" max="10" width="8.85546875" style="6" customWidth="1"/>
    <col min="11" max="14" width="9.140625" style="6" customWidth="1"/>
    <col min="15" max="15" width="2.7109375" style="6" customWidth="1"/>
    <col min="16" max="16384" width="9.140625" style="6"/>
  </cols>
  <sheetData>
    <row r="1" spans="1:15" ht="9.9499999999999993" customHeight="1">
      <c r="A1" s="19"/>
      <c r="B1" s="19"/>
      <c r="C1" s="19"/>
      <c r="D1" s="19"/>
      <c r="E1" s="19"/>
      <c r="F1" s="19"/>
      <c r="G1" s="19"/>
      <c r="H1" s="19"/>
      <c r="I1" s="19"/>
      <c r="J1" s="19"/>
      <c r="K1" s="19"/>
      <c r="L1" s="19"/>
      <c r="M1" s="19"/>
      <c r="N1" s="19"/>
      <c r="O1" s="19"/>
    </row>
    <row r="2" spans="1:15" ht="20.100000000000001" customHeight="1" thickBot="1">
      <c r="A2" s="19"/>
      <c r="B2" s="754" t="str">
        <f>AUX!A1</f>
        <v>Perfil Local de Saúde 2014</v>
      </c>
      <c r="C2" s="754"/>
      <c r="D2" s="754"/>
      <c r="E2" s="121"/>
      <c r="F2" s="121"/>
      <c r="G2" s="121"/>
      <c r="H2" s="121"/>
      <c r="I2" s="121"/>
      <c r="J2" s="755">
        <f>AUX!A3</f>
        <v>0</v>
      </c>
      <c r="K2" s="755"/>
      <c r="L2" s="755"/>
      <c r="M2" s="755"/>
      <c r="N2" s="755"/>
      <c r="O2" s="19"/>
    </row>
    <row r="3" spans="1:15" ht="9.9499999999999993" customHeight="1" thickTop="1">
      <c r="A3" s="19"/>
      <c r="B3" s="19"/>
      <c r="C3" s="19"/>
      <c r="D3" s="19"/>
      <c r="E3" s="19"/>
      <c r="F3" s="19"/>
      <c r="G3" s="19"/>
      <c r="H3" s="19"/>
      <c r="I3" s="19"/>
      <c r="J3" s="19"/>
      <c r="K3" s="19"/>
      <c r="L3" s="19"/>
      <c r="M3" s="19"/>
      <c r="N3" s="19"/>
      <c r="O3" s="19"/>
    </row>
    <row r="4" spans="1:15">
      <c r="A4" s="19"/>
      <c r="B4" s="123" t="s">
        <v>0</v>
      </c>
      <c r="C4" s="19"/>
      <c r="D4" s="19"/>
      <c r="E4" s="19"/>
      <c r="F4" s="19"/>
      <c r="G4" s="19"/>
      <c r="H4" s="19"/>
      <c r="I4" s="19"/>
      <c r="J4" s="19"/>
      <c r="K4" s="19"/>
      <c r="L4" s="19"/>
      <c r="M4" s="19"/>
      <c r="N4" s="19"/>
      <c r="O4" s="19"/>
    </row>
    <row r="5" spans="1:15" ht="15" customHeight="1">
      <c r="A5" s="19"/>
      <c r="B5" s="21"/>
      <c r="C5" s="19"/>
      <c r="D5" s="19"/>
      <c r="E5" s="19"/>
      <c r="F5" s="19"/>
      <c r="G5" s="19"/>
      <c r="H5" s="19"/>
      <c r="I5" s="19"/>
      <c r="J5" s="19"/>
      <c r="K5" s="19"/>
      <c r="L5" s="19"/>
      <c r="M5" s="19"/>
      <c r="N5" s="19"/>
      <c r="O5" s="19"/>
    </row>
    <row r="6" spans="1:15" ht="24.95" customHeight="1">
      <c r="A6" s="19"/>
      <c r="B6" s="756" t="s">
        <v>6</v>
      </c>
      <c r="C6" s="756"/>
      <c r="D6" s="756"/>
      <c r="E6" s="756"/>
      <c r="F6" s="756"/>
      <c r="G6" s="756"/>
      <c r="H6" s="756"/>
      <c r="I6" s="756"/>
      <c r="J6" s="756"/>
      <c r="K6" s="756"/>
      <c r="L6" s="756"/>
      <c r="M6" s="756"/>
      <c r="N6" s="756"/>
      <c r="O6" s="19"/>
    </row>
    <row r="7" spans="1:15" ht="18" customHeight="1">
      <c r="A7" s="460"/>
      <c r="B7" s="757" t="s">
        <v>177</v>
      </c>
      <c r="C7" s="757"/>
      <c r="D7" s="757"/>
      <c r="E7" s="757"/>
      <c r="F7" s="757"/>
      <c r="G7" s="757"/>
      <c r="H7" s="463"/>
      <c r="I7" s="460"/>
      <c r="J7" s="460"/>
      <c r="K7" s="460"/>
      <c r="L7" s="460"/>
      <c r="M7" s="460"/>
      <c r="N7" s="460"/>
      <c r="O7" s="460"/>
    </row>
    <row r="8" spans="1:15" ht="15" customHeight="1">
      <c r="A8" s="460"/>
      <c r="B8" s="757" t="s">
        <v>461</v>
      </c>
      <c r="C8" s="757"/>
      <c r="D8" s="757"/>
      <c r="E8" s="757"/>
      <c r="F8" s="757"/>
      <c r="G8" s="757"/>
      <c r="H8" s="463"/>
      <c r="I8" s="460"/>
      <c r="J8" s="460"/>
      <c r="K8" s="460"/>
      <c r="L8" s="460"/>
      <c r="M8" s="460"/>
      <c r="N8" s="460"/>
      <c r="O8" s="460"/>
    </row>
    <row r="9" spans="1:15" ht="20.100000000000001" customHeight="1">
      <c r="A9" s="19"/>
      <c r="B9" s="19"/>
      <c r="C9" s="19"/>
      <c r="D9" s="19"/>
      <c r="E9" s="19"/>
      <c r="F9" s="19"/>
      <c r="G9" s="19"/>
      <c r="H9" s="19"/>
      <c r="I9" s="19"/>
      <c r="J9" s="19"/>
      <c r="K9" s="19"/>
      <c r="L9" s="19"/>
      <c r="M9" s="19"/>
      <c r="N9" s="19"/>
      <c r="O9" s="19"/>
    </row>
    <row r="10" spans="1:15" ht="20.100000000000001" customHeight="1" thickBot="1">
      <c r="A10" s="176"/>
      <c r="B10" s="748" t="s">
        <v>177</v>
      </c>
      <c r="C10" s="748"/>
      <c r="D10" s="748"/>
      <c r="E10" s="748"/>
      <c r="F10" s="748"/>
      <c r="G10" s="748"/>
      <c r="H10" s="748"/>
      <c r="I10" s="748"/>
      <c r="J10" s="748"/>
      <c r="K10" s="748"/>
      <c r="L10" s="748"/>
      <c r="M10" s="748"/>
      <c r="N10" s="748"/>
      <c r="O10" s="176"/>
    </row>
    <row r="11" spans="1:15" ht="9.9499999999999993" customHeight="1">
      <c r="A11" s="176"/>
      <c r="B11" s="176"/>
      <c r="C11" s="176"/>
      <c r="D11" s="176"/>
      <c r="E11" s="176"/>
      <c r="F11" s="176"/>
      <c r="G11" s="176"/>
      <c r="H11" s="176"/>
      <c r="I11" s="176"/>
      <c r="J11" s="176"/>
      <c r="K11" s="176"/>
      <c r="L11" s="176"/>
      <c r="M11" s="176"/>
      <c r="N11" s="176"/>
      <c r="O11" s="176"/>
    </row>
    <row r="12" spans="1:15" ht="38.1" customHeight="1">
      <c r="A12" s="176"/>
      <c r="B12" s="749" t="s">
        <v>487</v>
      </c>
      <c r="C12" s="749"/>
      <c r="D12" s="749"/>
      <c r="E12" s="749"/>
      <c r="F12" s="749"/>
      <c r="G12" s="209"/>
      <c r="H12" s="749" t="s">
        <v>499</v>
      </c>
      <c r="I12" s="749"/>
      <c r="J12" s="749"/>
      <c r="K12" s="749"/>
      <c r="L12" s="749"/>
      <c r="M12" s="749"/>
      <c r="N12" s="749"/>
      <c r="O12" s="176"/>
    </row>
    <row r="13" spans="1:15" ht="5.0999999999999996" customHeight="1">
      <c r="A13" s="176"/>
      <c r="B13" s="27"/>
      <c r="C13" s="27"/>
      <c r="D13" s="27"/>
      <c r="E13" s="27"/>
      <c r="F13" s="27"/>
      <c r="G13" s="27"/>
      <c r="H13" s="27"/>
      <c r="I13" s="27"/>
      <c r="J13" s="27"/>
      <c r="K13" s="27"/>
      <c r="L13" s="27"/>
      <c r="M13" s="27"/>
      <c r="N13" s="27"/>
      <c r="O13" s="176"/>
    </row>
    <row r="14" spans="1:15" ht="20.100000000000001" customHeight="1">
      <c r="A14" s="176"/>
      <c r="B14" s="195" t="s">
        <v>8</v>
      </c>
      <c r="C14" s="453" t="s">
        <v>20</v>
      </c>
      <c r="D14" s="454" t="s">
        <v>47</v>
      </c>
      <c r="E14" s="337" t="s">
        <v>129</v>
      </c>
      <c r="F14" s="337" t="s">
        <v>297</v>
      </c>
      <c r="G14" s="208"/>
      <c r="H14" s="758" t="s">
        <v>8</v>
      </c>
      <c r="I14" s="759"/>
      <c r="J14" s="760"/>
      <c r="K14" s="453" t="s">
        <v>20</v>
      </c>
      <c r="L14" s="454" t="s">
        <v>47</v>
      </c>
      <c r="M14" s="337" t="s">
        <v>129</v>
      </c>
      <c r="N14" s="337" t="s">
        <v>297</v>
      </c>
      <c r="O14" s="176"/>
    </row>
    <row r="15" spans="1:15" ht="15" customHeight="1">
      <c r="A15" s="176"/>
      <c r="B15" s="96" t="s">
        <v>16</v>
      </c>
      <c r="C15" s="138">
        <f>AUX!G210</f>
        <v>5.5742701065430982</v>
      </c>
      <c r="D15" s="138">
        <f>AUX!J210</f>
        <v>4.7920976889590854</v>
      </c>
      <c r="E15" s="138">
        <f>AUX!M210</f>
        <v>4.2810000482249766</v>
      </c>
      <c r="F15" s="138">
        <f>AUX!P210</f>
        <v>3.7006663249615581</v>
      </c>
      <c r="G15" s="138"/>
      <c r="H15" s="761" t="s">
        <v>16</v>
      </c>
      <c r="I15" s="762"/>
      <c r="J15" s="763"/>
      <c r="K15" s="138">
        <f>AUX!G216</f>
        <v>14.458886330137144</v>
      </c>
      <c r="L15" s="138">
        <f>AUX!J216</f>
        <v>16.519276078344351</v>
      </c>
      <c r="M15" s="138">
        <f>AUX!M216</f>
        <v>19.432598706192774</v>
      </c>
      <c r="N15" s="138">
        <f>AUX!P216</f>
        <v>23.650142783920334</v>
      </c>
      <c r="O15" s="176"/>
    </row>
    <row r="16" spans="1:15" ht="15" customHeight="1">
      <c r="A16" s="176"/>
      <c r="B16" s="196">
        <f>AUX!A2</f>
        <v>0</v>
      </c>
      <c r="C16" s="193">
        <f>AUX!G211</f>
        <v>0</v>
      </c>
      <c r="D16" s="193">
        <f>AUX!J211</f>
        <v>0</v>
      </c>
      <c r="E16" s="193">
        <f>AUX!M211</f>
        <v>0</v>
      </c>
      <c r="F16" s="193">
        <f>AUX!P211</f>
        <v>0</v>
      </c>
      <c r="G16" s="138"/>
      <c r="H16" s="764">
        <f>AUX!A2</f>
        <v>0</v>
      </c>
      <c r="I16" s="765"/>
      <c r="J16" s="766"/>
      <c r="K16" s="193">
        <f>AUX!G217</f>
        <v>0</v>
      </c>
      <c r="L16" s="193">
        <f>AUX!J217</f>
        <v>0</v>
      </c>
      <c r="M16" s="194">
        <f>AUX!M217</f>
        <v>0</v>
      </c>
      <c r="N16" s="194">
        <f>AUX!P217</f>
        <v>0</v>
      </c>
      <c r="O16" s="176"/>
    </row>
    <row r="17" spans="1:15" ht="15" customHeight="1">
      <c r="A17" s="176"/>
      <c r="B17" s="602">
        <f>AUX!A3</f>
        <v>0</v>
      </c>
      <c r="C17" s="197">
        <f>AUX!G212</f>
        <v>0</v>
      </c>
      <c r="D17" s="197">
        <f>AUX!J212</f>
        <v>0</v>
      </c>
      <c r="E17" s="197">
        <f>AUX!M212</f>
        <v>0</v>
      </c>
      <c r="F17" s="197">
        <f>AUX!P212</f>
        <v>0</v>
      </c>
      <c r="G17" s="207"/>
      <c r="H17" s="767">
        <f>AUX!A3</f>
        <v>0</v>
      </c>
      <c r="I17" s="768"/>
      <c r="J17" s="769"/>
      <c r="K17" s="197">
        <f>AUX!G218</f>
        <v>0</v>
      </c>
      <c r="L17" s="197">
        <f>AUX!J218</f>
        <v>0</v>
      </c>
      <c r="M17" s="198">
        <f>AUX!M218</f>
        <v>0</v>
      </c>
      <c r="N17" s="198">
        <f>AUX!P218</f>
        <v>0</v>
      </c>
      <c r="O17" s="176"/>
    </row>
    <row r="18" spans="1:15" ht="15" customHeight="1">
      <c r="A18" s="176"/>
      <c r="B18" s="31"/>
      <c r="C18" s="651" t="s">
        <v>690</v>
      </c>
      <c r="D18" s="651"/>
      <c r="E18" s="651"/>
      <c r="F18" s="651"/>
      <c r="G18" s="28"/>
      <c r="H18" s="28"/>
      <c r="I18" s="28"/>
      <c r="J18" s="28"/>
      <c r="K18" s="651" t="s">
        <v>690</v>
      </c>
      <c r="L18" s="651"/>
      <c r="M18" s="651"/>
      <c r="N18" s="651"/>
      <c r="O18" s="176"/>
    </row>
    <row r="19" spans="1:15" ht="15" customHeight="1">
      <c r="A19" s="176"/>
      <c r="B19" s="31"/>
      <c r="C19" s="27"/>
      <c r="D19" s="27"/>
      <c r="E19" s="27"/>
      <c r="F19" s="28"/>
      <c r="G19" s="28"/>
      <c r="H19" s="28"/>
      <c r="I19" s="28"/>
      <c r="J19" s="28"/>
      <c r="K19" s="28"/>
      <c r="L19" s="28"/>
      <c r="M19" s="28"/>
      <c r="N19" s="28"/>
      <c r="O19" s="176"/>
    </row>
    <row r="20" spans="1:15" ht="24" customHeight="1">
      <c r="A20" s="176"/>
      <c r="B20" s="749" t="s">
        <v>469</v>
      </c>
      <c r="C20" s="749"/>
      <c r="D20" s="749"/>
      <c r="E20" s="749"/>
      <c r="F20" s="749"/>
      <c r="H20" s="749" t="s">
        <v>470</v>
      </c>
      <c r="I20" s="749"/>
      <c r="J20" s="749"/>
      <c r="K20" s="749"/>
      <c r="L20" s="749"/>
      <c r="M20" s="749"/>
      <c r="N20" s="749"/>
      <c r="O20" s="176"/>
    </row>
    <row r="21" spans="1:15" ht="5.0999999999999996" customHeight="1">
      <c r="A21" s="176"/>
      <c r="B21" s="176"/>
      <c r="C21" s="176"/>
      <c r="D21" s="176"/>
      <c r="E21" s="176"/>
      <c r="F21" s="176"/>
      <c r="G21" s="176"/>
      <c r="H21" s="176"/>
      <c r="I21" s="176"/>
      <c r="J21" s="176"/>
      <c r="K21" s="176"/>
      <c r="L21" s="176"/>
      <c r="M21" s="176"/>
      <c r="N21" s="176"/>
      <c r="O21" s="176"/>
    </row>
    <row r="22" spans="1:15" ht="15" customHeight="1">
      <c r="A22" s="176"/>
      <c r="B22" s="27"/>
      <c r="C22" s="27"/>
      <c r="D22" s="27"/>
      <c r="E22" s="27"/>
      <c r="F22" s="28"/>
      <c r="G22" s="28"/>
      <c r="H22" s="28"/>
      <c r="I22" s="28"/>
      <c r="J22" s="28"/>
      <c r="K22" s="28"/>
      <c r="L22" s="28"/>
      <c r="M22" s="28"/>
      <c r="N22" s="28"/>
      <c r="O22" s="176"/>
    </row>
    <row r="23" spans="1:15" ht="15" customHeight="1">
      <c r="A23" s="176"/>
      <c r="B23" s="27"/>
      <c r="C23" s="27"/>
      <c r="D23" s="27"/>
      <c r="E23" s="27"/>
      <c r="F23" s="28"/>
      <c r="G23" s="28"/>
      <c r="H23" s="28"/>
      <c r="I23" s="28"/>
      <c r="J23" s="28"/>
      <c r="K23" s="28"/>
      <c r="L23" s="28"/>
      <c r="M23" s="28"/>
      <c r="N23" s="28"/>
      <c r="O23" s="176"/>
    </row>
    <row r="24" spans="1:15" ht="15" customHeight="1">
      <c r="A24" s="176"/>
      <c r="B24" s="27"/>
      <c r="C24" s="27"/>
      <c r="D24" s="27"/>
      <c r="E24" s="27"/>
      <c r="F24" s="28"/>
      <c r="G24" s="28"/>
      <c r="H24" s="28"/>
      <c r="I24" s="28"/>
      <c r="J24" s="28"/>
      <c r="K24" s="28"/>
      <c r="L24" s="28"/>
      <c r="M24" s="28"/>
      <c r="N24" s="28"/>
      <c r="O24" s="176"/>
    </row>
    <row r="25" spans="1:15" ht="15" customHeight="1">
      <c r="A25" s="176"/>
      <c r="B25" s="27"/>
      <c r="C25" s="27"/>
      <c r="D25" s="27"/>
      <c r="E25" s="27"/>
      <c r="F25" s="28"/>
      <c r="G25" s="28"/>
      <c r="H25" s="28"/>
      <c r="I25" s="28"/>
      <c r="J25" s="28"/>
      <c r="K25" s="28"/>
      <c r="L25" s="28"/>
      <c r="M25" s="28"/>
      <c r="N25" s="28"/>
      <c r="O25" s="176"/>
    </row>
    <row r="26" spans="1:15" ht="15" customHeight="1">
      <c r="A26" s="176"/>
      <c r="B26" s="27"/>
      <c r="C26" s="27"/>
      <c r="D26" s="27"/>
      <c r="E26" s="27"/>
      <c r="F26" s="28"/>
      <c r="G26" s="28"/>
      <c r="H26" s="28"/>
      <c r="I26" s="28"/>
      <c r="J26" s="28"/>
      <c r="K26" s="28"/>
      <c r="L26" s="28"/>
      <c r="M26" s="28"/>
      <c r="N26" s="28"/>
      <c r="O26" s="176"/>
    </row>
    <row r="27" spans="1:15" ht="15" customHeight="1">
      <c r="A27" s="176"/>
      <c r="B27" s="176"/>
      <c r="C27" s="176"/>
      <c r="D27" s="176"/>
      <c r="E27" s="176"/>
      <c r="F27" s="176"/>
      <c r="G27" s="176"/>
      <c r="H27" s="176"/>
      <c r="I27" s="176"/>
      <c r="J27" s="176"/>
      <c r="K27" s="176"/>
      <c r="L27" s="176"/>
      <c r="M27" s="176"/>
      <c r="N27" s="176"/>
      <c r="O27" s="176"/>
    </row>
    <row r="28" spans="1:15" ht="15" customHeight="1">
      <c r="A28" s="176"/>
      <c r="B28" s="176"/>
      <c r="C28" s="176"/>
      <c r="D28" s="176"/>
      <c r="E28" s="176"/>
      <c r="F28" s="176"/>
      <c r="G28" s="176"/>
      <c r="H28" s="176"/>
      <c r="I28" s="176"/>
      <c r="J28" s="176"/>
      <c r="K28" s="176"/>
      <c r="L28" s="176"/>
      <c r="M28" s="176"/>
      <c r="N28" s="176"/>
      <c r="O28" s="176"/>
    </row>
    <row r="29" spans="1:15" ht="15" customHeight="1">
      <c r="A29" s="176"/>
      <c r="B29" s="31"/>
      <c r="C29" s="27"/>
      <c r="D29" s="27"/>
      <c r="E29" s="27"/>
      <c r="F29" s="28"/>
      <c r="G29" s="28"/>
      <c r="H29" s="28"/>
      <c r="I29" s="28"/>
      <c r="J29" s="28"/>
      <c r="K29" s="28"/>
      <c r="L29" s="28"/>
      <c r="M29" s="28"/>
      <c r="N29" s="28"/>
      <c r="O29" s="176"/>
    </row>
    <row r="30" spans="1:15" ht="15" customHeight="1">
      <c r="A30" s="176"/>
      <c r="B30" s="27"/>
      <c r="C30" s="27"/>
      <c r="D30" s="27"/>
      <c r="E30" s="27"/>
      <c r="F30" s="28"/>
      <c r="G30" s="28"/>
      <c r="H30" s="28"/>
      <c r="I30" s="28"/>
      <c r="J30" s="28"/>
      <c r="K30" s="28"/>
      <c r="L30" s="28"/>
      <c r="M30" s="28"/>
      <c r="N30" s="28"/>
      <c r="O30" s="176"/>
    </row>
    <row r="31" spans="1:15" ht="15" customHeight="1">
      <c r="A31" s="176"/>
      <c r="B31" s="27"/>
      <c r="C31" s="27"/>
      <c r="D31" s="27"/>
      <c r="E31" s="27"/>
      <c r="F31" s="28"/>
      <c r="G31" s="28"/>
      <c r="H31" s="28"/>
      <c r="I31" s="28"/>
      <c r="J31" s="28"/>
      <c r="K31" s="28"/>
      <c r="L31" s="28"/>
      <c r="M31" s="28"/>
      <c r="N31" s="28"/>
      <c r="O31" s="176"/>
    </row>
    <row r="32" spans="1:15" ht="15" customHeight="1">
      <c r="A32" s="176"/>
      <c r="B32" s="176"/>
      <c r="C32" s="176"/>
      <c r="D32" s="176"/>
      <c r="E32" s="176"/>
      <c r="F32" s="176"/>
      <c r="G32" s="176"/>
      <c r="H32" s="176"/>
      <c r="I32" s="176"/>
      <c r="J32" s="176"/>
      <c r="K32" s="176"/>
      <c r="L32" s="176"/>
      <c r="M32" s="176"/>
      <c r="N32" s="176"/>
      <c r="O32" s="176"/>
    </row>
    <row r="33" spans="1:15" ht="15" customHeight="1">
      <c r="A33" s="176"/>
      <c r="B33" s="176"/>
      <c r="C33" s="176"/>
      <c r="D33" s="176"/>
      <c r="E33" s="176"/>
      <c r="F33" s="176"/>
      <c r="G33" s="176"/>
      <c r="H33" s="176"/>
      <c r="I33" s="176"/>
      <c r="J33" s="176"/>
      <c r="K33" s="176"/>
      <c r="L33" s="176"/>
      <c r="M33" s="176"/>
      <c r="N33" s="176"/>
      <c r="O33" s="176"/>
    </row>
    <row r="34" spans="1:15" ht="15" customHeight="1">
      <c r="A34" s="176"/>
      <c r="B34" s="31"/>
      <c r="C34" s="27"/>
      <c r="D34" s="27"/>
      <c r="E34" s="27"/>
      <c r="F34" s="28"/>
      <c r="G34" s="28"/>
      <c r="H34" s="28"/>
      <c r="I34" s="28"/>
      <c r="J34" s="28"/>
      <c r="K34" s="28"/>
      <c r="L34" s="28"/>
      <c r="M34" s="28"/>
      <c r="N34" s="28"/>
      <c r="O34" s="176"/>
    </row>
    <row r="35" spans="1:15" ht="12" customHeight="1">
      <c r="A35" s="176"/>
      <c r="B35" s="27"/>
      <c r="C35" s="27"/>
      <c r="D35" s="27"/>
      <c r="E35" s="27"/>
      <c r="F35" s="28"/>
      <c r="G35" s="28"/>
      <c r="H35" s="28"/>
      <c r="I35" s="28"/>
      <c r="J35" s="28"/>
      <c r="K35" s="28"/>
      <c r="L35" s="28"/>
      <c r="M35" s="28"/>
      <c r="N35" s="28"/>
      <c r="O35" s="176"/>
    </row>
    <row r="36" spans="1:15" ht="18" customHeight="1">
      <c r="A36" s="176"/>
      <c r="B36" s="27"/>
      <c r="C36" s="655" t="s">
        <v>690</v>
      </c>
      <c r="D36" s="655"/>
      <c r="E36" s="655"/>
      <c r="F36" s="655"/>
      <c r="H36" s="28"/>
      <c r="I36" s="28"/>
      <c r="J36" s="28"/>
      <c r="K36" s="655" t="s">
        <v>690</v>
      </c>
      <c r="L36" s="655"/>
      <c r="M36" s="655"/>
      <c r="N36" s="655"/>
      <c r="O36" s="176"/>
    </row>
    <row r="37" spans="1:15" ht="15" customHeight="1">
      <c r="A37" s="19"/>
      <c r="B37" s="199" t="s">
        <v>28</v>
      </c>
      <c r="C37" s="19"/>
      <c r="D37" s="19"/>
      <c r="E37" s="19"/>
      <c r="F37" s="19"/>
      <c r="G37" s="19"/>
      <c r="H37" s="19"/>
      <c r="I37" s="19"/>
      <c r="J37" s="19"/>
      <c r="K37" s="19"/>
      <c r="L37" s="19"/>
      <c r="M37" s="19"/>
      <c r="N37" s="19"/>
      <c r="O37" s="19"/>
    </row>
    <row r="38" spans="1:15" ht="15" customHeight="1">
      <c r="A38" s="19"/>
      <c r="B38" s="19"/>
      <c r="C38" s="19"/>
      <c r="D38" s="19"/>
      <c r="E38" s="19"/>
      <c r="F38" s="19"/>
      <c r="G38" s="19"/>
      <c r="H38" s="19"/>
      <c r="I38" s="19"/>
      <c r="J38" s="19"/>
      <c r="K38" s="19"/>
      <c r="L38" s="19"/>
      <c r="M38" s="19"/>
      <c r="N38" s="19"/>
      <c r="O38" s="19"/>
    </row>
    <row r="39" spans="1:15" ht="20.100000000000001" customHeight="1" thickBot="1">
      <c r="A39" s="434"/>
      <c r="B39" s="748" t="s">
        <v>461</v>
      </c>
      <c r="C39" s="748"/>
      <c r="D39" s="748"/>
      <c r="E39" s="748"/>
      <c r="F39" s="748"/>
      <c r="G39" s="748"/>
      <c r="H39" s="748"/>
      <c r="I39" s="748"/>
      <c r="J39" s="748"/>
      <c r="K39" s="748"/>
      <c r="L39" s="748"/>
      <c r="M39" s="748"/>
      <c r="N39" s="748"/>
      <c r="O39" s="434"/>
    </row>
    <row r="40" spans="1:15" ht="9.9499999999999993" customHeight="1">
      <c r="A40" s="434"/>
      <c r="B40" s="434"/>
      <c r="C40" s="434"/>
      <c r="D40" s="434"/>
      <c r="E40" s="434"/>
      <c r="F40" s="434"/>
      <c r="G40" s="434"/>
      <c r="H40" s="434"/>
      <c r="I40" s="434"/>
      <c r="J40" s="434"/>
      <c r="K40" s="434"/>
      <c r="L40" s="434"/>
      <c r="M40" s="434"/>
      <c r="N40" s="434"/>
      <c r="O40" s="434"/>
    </row>
    <row r="41" spans="1:15" ht="14.1" customHeight="1">
      <c r="A41" s="434"/>
      <c r="B41" s="749" t="s">
        <v>672</v>
      </c>
      <c r="C41" s="749"/>
      <c r="D41" s="749"/>
      <c r="E41" s="749"/>
      <c r="F41" s="749"/>
      <c r="G41" s="749"/>
      <c r="H41" s="749"/>
      <c r="I41" s="749"/>
      <c r="J41" s="749"/>
      <c r="K41" s="749"/>
      <c r="L41" s="749"/>
      <c r="M41" s="749"/>
      <c r="N41" s="749"/>
      <c r="O41" s="434"/>
    </row>
    <row r="42" spans="1:15" ht="5.0999999999999996" customHeight="1">
      <c r="A42" s="434"/>
      <c r="B42" s="27"/>
      <c r="C42" s="27"/>
      <c r="D42" s="27"/>
      <c r="E42" s="27"/>
      <c r="F42" s="27"/>
      <c r="G42" s="27"/>
      <c r="H42" s="27"/>
      <c r="I42" s="27"/>
      <c r="J42" s="27"/>
      <c r="K42" s="27"/>
      <c r="L42" s="27"/>
      <c r="M42" s="27"/>
      <c r="N42" s="27"/>
      <c r="O42" s="434"/>
    </row>
    <row r="43" spans="1:15" ht="30" customHeight="1">
      <c r="A43" s="434"/>
      <c r="B43" s="751" t="s">
        <v>346</v>
      </c>
      <c r="C43" s="742" t="s">
        <v>16</v>
      </c>
      <c r="D43" s="743"/>
      <c r="E43" s="744"/>
      <c r="F43" s="742">
        <f>AUX!A2</f>
        <v>0</v>
      </c>
      <c r="G43" s="743"/>
      <c r="H43" s="744"/>
      <c r="I43" s="742">
        <f>AUX!C5</f>
        <v>0</v>
      </c>
      <c r="J43" s="743"/>
      <c r="K43" s="744"/>
      <c r="L43" s="742" t="str">
        <f>IF(AUX!B5=2,AUX!D5,"")</f>
        <v/>
      </c>
      <c r="M43" s="743"/>
      <c r="N43" s="744"/>
      <c r="O43" s="151"/>
    </row>
    <row r="44" spans="1:15" ht="14.1" customHeight="1">
      <c r="A44" s="460"/>
      <c r="B44" s="752"/>
      <c r="C44" s="475" t="s">
        <v>13</v>
      </c>
      <c r="D44" s="475" t="s">
        <v>14</v>
      </c>
      <c r="E44" s="475" t="s">
        <v>15</v>
      </c>
      <c r="F44" s="475" t="s">
        <v>13</v>
      </c>
      <c r="G44" s="475" t="s">
        <v>14</v>
      </c>
      <c r="H44" s="475" t="s">
        <v>15</v>
      </c>
      <c r="I44" s="475" t="s">
        <v>13</v>
      </c>
      <c r="J44" s="475" t="s">
        <v>14</v>
      </c>
      <c r="K44" s="475" t="s">
        <v>15</v>
      </c>
      <c r="L44" s="475" t="str">
        <f>IF(AUX!B5=2,"HM","")</f>
        <v/>
      </c>
      <c r="M44" s="475" t="str">
        <f>IF(AUX!B5=2,"H","")</f>
        <v/>
      </c>
      <c r="N44" s="475" t="str">
        <f>IF(AUX!B5=2,"M","")</f>
        <v/>
      </c>
      <c r="O44" s="151"/>
    </row>
    <row r="45" spans="1:15" ht="15.95" customHeight="1">
      <c r="A45" s="434"/>
      <c r="B45" s="456" t="str">
        <f>AUX!S228</f>
        <v>Abuso crónico do álcool (P15)</v>
      </c>
      <c r="C45" s="138">
        <f>AUX!U228</f>
        <v>0.97825492539290915</v>
      </c>
      <c r="D45" s="138">
        <f>AUX!V228</f>
        <v>1.810148156349255</v>
      </c>
      <c r="E45" s="138">
        <f>AUX!W228</f>
        <v>0.23457703374756084</v>
      </c>
      <c r="F45" s="138">
        <f>AUX!X228</f>
        <v>0</v>
      </c>
      <c r="G45" s="138">
        <f>AUX!Y228</f>
        <v>0</v>
      </c>
      <c r="H45" s="138">
        <f>AUX!Z228</f>
        <v>0</v>
      </c>
      <c r="I45" s="489">
        <f>AUX!AA228</f>
        <v>0</v>
      </c>
      <c r="J45" s="138">
        <f>AUX!AB228</f>
        <v>0</v>
      </c>
      <c r="K45" s="138">
        <f>AUX!AC228</f>
        <v>0</v>
      </c>
      <c r="L45" s="138" t="str">
        <f>IF(AUX!$B$5=2,AUX!AD228,"")</f>
        <v/>
      </c>
      <c r="M45" s="138" t="str">
        <f>IF(AUX!$B$5=2,AUX!AE228,"")</f>
        <v/>
      </c>
      <c r="N45" s="138" t="str">
        <f>IF(AUX!$B$5=2,AUX!AF228,"")</f>
        <v/>
      </c>
      <c r="O45" s="151"/>
    </row>
    <row r="46" spans="1:15" ht="15.95" customHeight="1">
      <c r="A46" s="434"/>
      <c r="B46" s="457" t="e">
        <f>AUX!S229</f>
        <v>#N/A</v>
      </c>
      <c r="C46" s="193" t="e">
        <f>AUX!U229</f>
        <v>#N/A</v>
      </c>
      <c r="D46" s="193" t="e">
        <f>AUX!V229</f>
        <v>#N/A</v>
      </c>
      <c r="E46" s="193" t="e">
        <f>AUX!W229</f>
        <v>#N/A</v>
      </c>
      <c r="F46" s="193" t="e">
        <f>AUX!X229</f>
        <v>#N/A</v>
      </c>
      <c r="G46" s="193" t="e">
        <f>AUX!Y229</f>
        <v>#N/A</v>
      </c>
      <c r="H46" s="193" t="e">
        <f>AUX!Z229</f>
        <v>#N/A</v>
      </c>
      <c r="I46" s="515" t="e">
        <f>AUX!AA229</f>
        <v>#N/A</v>
      </c>
      <c r="J46" s="193" t="e">
        <f>AUX!AB229</f>
        <v>#N/A</v>
      </c>
      <c r="K46" s="193" t="e">
        <f>AUX!AC229</f>
        <v>#N/A</v>
      </c>
      <c r="L46" s="193" t="str">
        <f>IF(AUX!$B$5=2,AUX!AD229,"")</f>
        <v/>
      </c>
      <c r="M46" s="193" t="str">
        <f>IF(AUX!$B$5=2,AUX!AE229,"")</f>
        <v/>
      </c>
      <c r="N46" s="193" t="str">
        <f>IF(AUX!$B$5=2,AUX!AF229,"")</f>
        <v/>
      </c>
      <c r="O46" s="151"/>
    </row>
    <row r="47" spans="1:15" ht="15.95" customHeight="1">
      <c r="A47" s="434"/>
      <c r="B47" s="456" t="e">
        <f>AUX!S230</f>
        <v>#N/A</v>
      </c>
      <c r="C47" s="138" t="e">
        <f>AUX!U230</f>
        <v>#N/A</v>
      </c>
      <c r="D47" s="138" t="e">
        <f>AUX!V230</f>
        <v>#N/A</v>
      </c>
      <c r="E47" s="138" t="e">
        <f>AUX!W230</f>
        <v>#N/A</v>
      </c>
      <c r="F47" s="138" t="e">
        <f>AUX!X230</f>
        <v>#N/A</v>
      </c>
      <c r="G47" s="138" t="e">
        <f>AUX!Y230</f>
        <v>#N/A</v>
      </c>
      <c r="H47" s="138" t="e">
        <f>AUX!Z230</f>
        <v>#N/A</v>
      </c>
      <c r="I47" s="489" t="e">
        <f>AUX!AA230</f>
        <v>#N/A</v>
      </c>
      <c r="J47" s="138" t="e">
        <f>AUX!AB230</f>
        <v>#N/A</v>
      </c>
      <c r="K47" s="138" t="e">
        <f>AUX!AC230</f>
        <v>#N/A</v>
      </c>
      <c r="L47" s="138" t="str">
        <f>IF(AUX!$B$5=2,AUX!AD230,"")</f>
        <v/>
      </c>
      <c r="M47" s="138" t="str">
        <f>IF(AUX!$B$5=2,AUX!AE230,"")</f>
        <v/>
      </c>
      <c r="N47" s="138" t="str">
        <f>IF(AUX!$B$5=2,AUX!AF230,"")</f>
        <v/>
      </c>
      <c r="O47" s="151"/>
    </row>
    <row r="48" spans="1:15" ht="15.95" customHeight="1">
      <c r="A48" s="434"/>
      <c r="B48" s="458" t="e">
        <f>AUX!S231</f>
        <v>#N/A</v>
      </c>
      <c r="C48" s="459" t="e">
        <f>AUX!U231</f>
        <v>#N/A</v>
      </c>
      <c r="D48" s="459" t="e">
        <f>AUX!V231</f>
        <v>#N/A</v>
      </c>
      <c r="E48" s="459" t="e">
        <f>AUX!W231</f>
        <v>#N/A</v>
      </c>
      <c r="F48" s="459" t="e">
        <f>AUX!X231</f>
        <v>#N/A</v>
      </c>
      <c r="G48" s="459" t="e">
        <f>AUX!Y231</f>
        <v>#N/A</v>
      </c>
      <c r="H48" s="459" t="e">
        <f>AUX!Z231</f>
        <v>#N/A</v>
      </c>
      <c r="I48" s="516" t="e">
        <f>AUX!AA231</f>
        <v>#N/A</v>
      </c>
      <c r="J48" s="459" t="e">
        <f>AUX!AB231</f>
        <v>#N/A</v>
      </c>
      <c r="K48" s="459" t="e">
        <f>AUX!AC231</f>
        <v>#N/A</v>
      </c>
      <c r="L48" s="459" t="str">
        <f>IF(AUX!$B$5=2,AUX!AD231,"")</f>
        <v/>
      </c>
      <c r="M48" s="459" t="str">
        <f>IF(AUX!$B$5=2,AUX!AE231,"")</f>
        <v/>
      </c>
      <c r="N48" s="459" t="str">
        <f>IF(AUX!$B$5=2,AUX!AF231,"")</f>
        <v/>
      </c>
      <c r="O48" s="151"/>
    </row>
    <row r="49" spans="1:15" ht="14.1" customHeight="1">
      <c r="A49" s="434"/>
      <c r="B49" s="666" t="s">
        <v>51</v>
      </c>
      <c r="C49" s="666"/>
      <c r="D49" s="666"/>
      <c r="E49" s="666"/>
      <c r="F49" s="461"/>
      <c r="G49" s="26"/>
      <c r="H49" s="26"/>
      <c r="I49" s="651" t="str">
        <f>IF(AUX!B5=1,"Fonte: Observatórios Regionais de Saúde (dados: SIARS)","")</f>
        <v/>
      </c>
      <c r="J49" s="651"/>
      <c r="K49" s="651"/>
      <c r="L49" s="651" t="str">
        <f>IF(AUX!B5=2,"Fonte: Observatórios Regionais de Saúde (dados: SIARS)","")</f>
        <v/>
      </c>
      <c r="M49" s="651"/>
      <c r="N49" s="651"/>
      <c r="O49" s="151"/>
    </row>
    <row r="50" spans="1:15" ht="15" customHeight="1">
      <c r="A50" s="434"/>
      <c r="B50" s="31"/>
      <c r="C50" s="27"/>
      <c r="D50" s="27"/>
      <c r="E50" s="27"/>
      <c r="F50" s="28"/>
      <c r="G50" s="28"/>
      <c r="H50" s="28"/>
      <c r="I50" s="28"/>
      <c r="J50" s="28"/>
      <c r="K50" s="28"/>
      <c r="L50" s="28"/>
      <c r="M50" s="28"/>
      <c r="N50" s="28"/>
      <c r="O50" s="434"/>
    </row>
    <row r="51" spans="1:15" ht="26.1" customHeight="1">
      <c r="A51" s="434"/>
      <c r="B51" s="749" t="str">
        <f>"PROPORÇÃO DE INSCRITOS (%) POR DIAGNÓSTICO ATIVO " &amp; AUX!C6 &amp; ", POR SEXO, DEZEMBRO 2013 (ORDEM DECRESCENTE)"</f>
        <v>PROPORÇÃO DE INSCRITOS (%) POR DIAGNÓSTICO ATIVO NO , POR SEXO, DEZEMBRO 2013 (ORDEM DECRESCENTE)</v>
      </c>
      <c r="C51" s="749"/>
      <c r="D51" s="749"/>
      <c r="E51" s="749"/>
      <c r="F51" s="749"/>
      <c r="G51" s="749"/>
      <c r="H51" s="749"/>
      <c r="I51" s="28"/>
      <c r="J51" s="28"/>
      <c r="K51" s="28"/>
      <c r="L51" s="28"/>
      <c r="M51" s="28"/>
      <c r="N51" s="28"/>
      <c r="O51" s="434"/>
    </row>
    <row r="52" spans="1:15" ht="5.0999999999999996" customHeight="1">
      <c r="A52" s="460"/>
      <c r="B52" s="27"/>
      <c r="C52" s="27"/>
      <c r="D52" s="27"/>
      <c r="E52" s="27"/>
      <c r="F52" s="28"/>
      <c r="G52" s="28"/>
      <c r="H52" s="28"/>
      <c r="I52" s="28"/>
      <c r="J52" s="28"/>
      <c r="K52" s="28"/>
      <c r="L52" s="28"/>
      <c r="M52" s="28"/>
      <c r="N52" s="28"/>
      <c r="O52" s="460"/>
    </row>
    <row r="53" spans="1:15" ht="14.1" customHeight="1">
      <c r="A53" s="460"/>
      <c r="B53" s="464" t="s">
        <v>62</v>
      </c>
      <c r="C53" s="27"/>
      <c r="D53" s="27"/>
      <c r="E53" s="27"/>
      <c r="F53" s="753" t="s">
        <v>63</v>
      </c>
      <c r="G53" s="753"/>
      <c r="H53" s="753"/>
      <c r="I53" s="28"/>
      <c r="J53" s="28"/>
      <c r="K53" s="28"/>
      <c r="L53" s="28"/>
      <c r="M53" s="28"/>
      <c r="N53" s="28"/>
      <c r="O53" s="460"/>
    </row>
    <row r="54" spans="1:15" ht="17.100000000000001" customHeight="1">
      <c r="A54" s="460"/>
      <c r="B54" s="465"/>
      <c r="C54" s="745" t="str">
        <f>AUX!S228</f>
        <v>Abuso crónico do álcool (P15)</v>
      </c>
      <c r="D54" s="746"/>
      <c r="E54" s="747"/>
      <c r="F54" s="467"/>
      <c r="G54" s="468"/>
      <c r="H54" s="469"/>
      <c r="I54" s="28"/>
      <c r="J54" s="28"/>
      <c r="K54" s="28"/>
      <c r="L54" s="28"/>
      <c r="M54" s="28"/>
      <c r="N54" s="28"/>
      <c r="O54" s="460"/>
    </row>
    <row r="55" spans="1:15" ht="17.100000000000001" customHeight="1">
      <c r="A55" s="460"/>
      <c r="B55" s="466"/>
      <c r="C55" s="733" t="e">
        <f>AUX!S229</f>
        <v>#N/A</v>
      </c>
      <c r="D55" s="734"/>
      <c r="E55" s="735"/>
      <c r="F55" s="470"/>
      <c r="G55" s="26"/>
      <c r="H55" s="471"/>
      <c r="I55" s="28"/>
      <c r="J55" s="28"/>
      <c r="K55" s="28"/>
      <c r="L55" s="28"/>
      <c r="M55" s="28"/>
      <c r="N55" s="28"/>
      <c r="O55" s="460"/>
    </row>
    <row r="56" spans="1:15" ht="17.100000000000001" customHeight="1">
      <c r="A56" s="460"/>
      <c r="B56" s="466"/>
      <c r="C56" s="733" t="e">
        <f>AUX!S230</f>
        <v>#N/A</v>
      </c>
      <c r="D56" s="734"/>
      <c r="E56" s="735"/>
      <c r="F56" s="470"/>
      <c r="G56" s="26"/>
      <c r="H56" s="471"/>
      <c r="I56" s="28"/>
      <c r="J56" s="28"/>
      <c r="K56" s="28"/>
      <c r="L56" s="28"/>
      <c r="M56" s="28"/>
      <c r="N56" s="28"/>
      <c r="O56" s="460"/>
    </row>
    <row r="57" spans="1:15" ht="17.100000000000001" customHeight="1">
      <c r="A57" s="434"/>
      <c r="B57" s="466"/>
      <c r="C57" s="736" t="e">
        <f>AUX!S231</f>
        <v>#N/A</v>
      </c>
      <c r="D57" s="737"/>
      <c r="E57" s="738"/>
      <c r="F57" s="470"/>
      <c r="G57" s="26"/>
      <c r="H57" s="471"/>
      <c r="I57" s="28"/>
      <c r="J57" s="28"/>
      <c r="K57" s="28"/>
      <c r="L57" s="28"/>
      <c r="M57" s="28"/>
      <c r="N57" s="28"/>
      <c r="O57" s="434"/>
    </row>
    <row r="58" spans="1:15" ht="26.45" customHeight="1">
      <c r="A58" s="434"/>
      <c r="B58" s="472"/>
      <c r="C58" s="739"/>
      <c r="D58" s="740"/>
      <c r="E58" s="741"/>
      <c r="F58" s="473"/>
      <c r="G58" s="473"/>
      <c r="H58" s="474"/>
      <c r="I58" s="434"/>
      <c r="J58" s="434"/>
      <c r="K58" s="434"/>
      <c r="L58" s="434"/>
      <c r="M58" s="434"/>
      <c r="N58" s="434"/>
      <c r="O58" s="434"/>
    </row>
    <row r="59" spans="1:15" ht="15" customHeight="1">
      <c r="A59" s="434"/>
      <c r="B59" s="434"/>
      <c r="C59" s="434"/>
      <c r="D59" s="434"/>
      <c r="E59" s="655" t="s">
        <v>513</v>
      </c>
      <c r="F59" s="655"/>
      <c r="G59" s="655"/>
      <c r="H59" s="655"/>
      <c r="I59" s="434"/>
      <c r="J59" s="434"/>
      <c r="K59" s="434"/>
      <c r="L59" s="434"/>
      <c r="M59" s="434"/>
      <c r="N59" s="434"/>
      <c r="O59" s="434"/>
    </row>
    <row r="60" spans="1:15" ht="36" customHeight="1">
      <c r="A60" s="460"/>
      <c r="B60" s="749" t="str">
        <f>"PROPORÇÃO DE INSCRITOS (%) POR DIAGNÓSTICO ATIVO " &amp; AUX!D6 &amp; ", POR SEXO, DEZEMBRO 2013 (ORDEM DECRESCENTE)"</f>
        <v>PROPORÇÃO DE INSCRITOS (%) POR DIAGNÓSTICO ATIVO NO , POR SEXO, DEZEMBRO 2013 (ORDEM DECRESCENTE)</v>
      </c>
      <c r="C60" s="749"/>
      <c r="D60" s="749"/>
      <c r="E60" s="749"/>
      <c r="F60" s="749"/>
      <c r="G60" s="749"/>
      <c r="H60" s="749"/>
      <c r="I60" s="28"/>
      <c r="J60" s="28"/>
      <c r="K60" s="28"/>
      <c r="L60" s="28"/>
      <c r="M60" s="28"/>
      <c r="N60" s="28"/>
      <c r="O60" s="460"/>
    </row>
    <row r="61" spans="1:15" ht="5.0999999999999996" customHeight="1">
      <c r="A61" s="460"/>
      <c r="B61" s="27"/>
      <c r="C61" s="27"/>
      <c r="D61" s="27"/>
      <c r="E61" s="27"/>
      <c r="F61" s="28"/>
      <c r="G61" s="28"/>
      <c r="H61" s="28"/>
      <c r="I61" s="28"/>
      <c r="J61" s="28"/>
      <c r="K61" s="28"/>
      <c r="L61" s="28"/>
      <c r="M61" s="28"/>
      <c r="N61" s="28"/>
      <c r="O61" s="460"/>
    </row>
    <row r="62" spans="1:15" ht="14.1" customHeight="1">
      <c r="A62" s="460"/>
      <c r="B62" s="464" t="s">
        <v>62</v>
      </c>
      <c r="C62" s="27"/>
      <c r="D62" s="27"/>
      <c r="E62" s="27"/>
      <c r="F62" s="753" t="s">
        <v>63</v>
      </c>
      <c r="G62" s="753"/>
      <c r="H62" s="753"/>
      <c r="I62" s="28"/>
      <c r="J62" s="28"/>
      <c r="K62" s="28"/>
      <c r="L62" s="28"/>
      <c r="M62" s="28"/>
      <c r="N62" s="28"/>
      <c r="O62" s="460"/>
    </row>
    <row r="63" spans="1:15" ht="17.100000000000001" customHeight="1">
      <c r="A63" s="460"/>
      <c r="B63" s="465"/>
      <c r="C63" s="745" t="str">
        <f>IF(AUX!$B$5=2,AUX!S228,"")</f>
        <v/>
      </c>
      <c r="D63" s="746"/>
      <c r="E63" s="747"/>
      <c r="F63" s="467"/>
      <c r="G63" s="468"/>
      <c r="H63" s="469"/>
      <c r="I63" s="28"/>
      <c r="J63" s="28"/>
      <c r="K63" s="28"/>
      <c r="L63" s="28"/>
      <c r="M63" s="28"/>
      <c r="N63" s="28"/>
      <c r="O63" s="460"/>
    </row>
    <row r="64" spans="1:15" ht="17.100000000000001" customHeight="1">
      <c r="A64" s="460"/>
      <c r="B64" s="466"/>
      <c r="C64" s="733" t="str">
        <f>IF(AUX!$B$5=2,AUX!S229,"")</f>
        <v/>
      </c>
      <c r="D64" s="734"/>
      <c r="E64" s="735"/>
      <c r="F64" s="470"/>
      <c r="G64" s="26"/>
      <c r="H64" s="471"/>
      <c r="I64" s="28"/>
      <c r="J64" s="28"/>
      <c r="K64" s="28"/>
      <c r="L64" s="28"/>
      <c r="M64" s="28"/>
      <c r="N64" s="28"/>
      <c r="O64" s="460"/>
    </row>
    <row r="65" spans="1:15" ht="17.100000000000001" customHeight="1">
      <c r="A65" s="460"/>
      <c r="B65" s="466"/>
      <c r="C65" s="733" t="str">
        <f>IF(AUX!$B$5=2,AUX!S230,"")</f>
        <v/>
      </c>
      <c r="D65" s="734"/>
      <c r="E65" s="735"/>
      <c r="F65" s="470"/>
      <c r="G65" s="26"/>
      <c r="H65" s="471"/>
      <c r="I65" s="28"/>
      <c r="J65" s="28"/>
      <c r="K65" s="28"/>
      <c r="L65" s="28"/>
      <c r="M65" s="28"/>
      <c r="N65" s="28"/>
      <c r="O65" s="460"/>
    </row>
    <row r="66" spans="1:15" ht="17.100000000000001" customHeight="1">
      <c r="A66" s="460"/>
      <c r="B66" s="466"/>
      <c r="C66" s="736" t="str">
        <f>IF(AUX!$B$5=2,AUX!S231,"")</f>
        <v/>
      </c>
      <c r="D66" s="737"/>
      <c r="E66" s="738"/>
      <c r="F66" s="470"/>
      <c r="G66" s="26"/>
      <c r="H66" s="471"/>
      <c r="I66" s="28"/>
      <c r="J66" s="28"/>
      <c r="K66" s="28"/>
      <c r="L66" s="28"/>
      <c r="M66" s="28"/>
      <c r="N66" s="28"/>
      <c r="O66" s="460"/>
    </row>
    <row r="67" spans="1:15" ht="26.45" customHeight="1">
      <c r="A67" s="460"/>
      <c r="B67" s="472"/>
      <c r="C67" s="739"/>
      <c r="D67" s="740"/>
      <c r="E67" s="741"/>
      <c r="F67" s="473"/>
      <c r="G67" s="473"/>
      <c r="H67" s="474"/>
      <c r="I67" s="460"/>
      <c r="J67" s="460"/>
      <c r="K67" s="460"/>
      <c r="L67" s="460"/>
      <c r="M67" s="460"/>
      <c r="N67" s="460"/>
      <c r="O67" s="460"/>
    </row>
    <row r="68" spans="1:15" ht="15" customHeight="1">
      <c r="A68" s="460"/>
      <c r="B68" s="460"/>
      <c r="C68" s="460"/>
      <c r="D68" s="460"/>
      <c r="E68" s="655" t="s">
        <v>513</v>
      </c>
      <c r="F68" s="655"/>
      <c r="G68" s="655"/>
      <c r="H68" s="655"/>
      <c r="I68" s="460"/>
      <c r="J68" s="460"/>
      <c r="K68" s="460"/>
      <c r="L68" s="460"/>
      <c r="M68" s="460"/>
      <c r="N68" s="460"/>
      <c r="O68" s="460"/>
    </row>
    <row r="69" spans="1:15" ht="15" customHeight="1">
      <c r="A69" s="434"/>
      <c r="B69" s="31"/>
      <c r="C69" s="27"/>
      <c r="D69" s="27"/>
      <c r="E69" s="27"/>
      <c r="F69" s="28"/>
      <c r="G69" s="28"/>
      <c r="H69" s="28"/>
      <c r="I69" s="28"/>
      <c r="J69" s="28"/>
      <c r="K69" s="28"/>
      <c r="L69" s="28"/>
      <c r="M69" s="28"/>
      <c r="N69" s="28"/>
      <c r="O69" s="434"/>
    </row>
    <row r="70" spans="1:15" ht="15" customHeight="1">
      <c r="A70" s="434"/>
      <c r="B70" s="199" t="s">
        <v>28</v>
      </c>
      <c r="C70" s="434"/>
      <c r="D70" s="434"/>
      <c r="E70" s="434"/>
      <c r="F70" s="434"/>
      <c r="G70" s="434"/>
      <c r="H70" s="434"/>
      <c r="I70" s="434"/>
      <c r="J70" s="434"/>
      <c r="K70" s="434"/>
      <c r="L70" s="434"/>
      <c r="M70" s="434"/>
      <c r="N70" s="434"/>
      <c r="O70" s="434"/>
    </row>
    <row r="71" spans="1:15" ht="15" customHeight="1">
      <c r="A71" s="434"/>
      <c r="B71" s="434"/>
      <c r="C71" s="434"/>
      <c r="D71" s="434"/>
      <c r="E71" s="434"/>
      <c r="F71" s="434"/>
      <c r="G71" s="434"/>
      <c r="H71" s="434"/>
      <c r="I71" s="434"/>
      <c r="J71" s="434"/>
      <c r="K71" s="434"/>
      <c r="L71" s="434"/>
      <c r="M71" s="434"/>
      <c r="N71" s="434"/>
      <c r="O71" s="434"/>
    </row>
    <row r="72" spans="1:15" ht="15" customHeight="1">
      <c r="A72" s="19"/>
      <c r="B72" s="19"/>
      <c r="C72" s="19"/>
      <c r="D72" s="19"/>
      <c r="E72" s="19"/>
      <c r="F72" s="19"/>
      <c r="G72" s="19"/>
      <c r="H72" s="19"/>
      <c r="I72" s="19"/>
      <c r="J72" s="19"/>
      <c r="K72" s="19"/>
      <c r="L72" s="19"/>
      <c r="M72" s="19"/>
      <c r="N72" s="19"/>
      <c r="O72" s="19"/>
    </row>
    <row r="73" spans="1:15" ht="15" customHeight="1">
      <c r="A73" s="19"/>
      <c r="B73" s="19"/>
      <c r="C73" s="19"/>
      <c r="D73" s="19"/>
      <c r="E73" s="19"/>
      <c r="F73" s="19"/>
      <c r="G73" s="19"/>
      <c r="H73" s="19"/>
      <c r="I73" s="19"/>
      <c r="J73" s="19"/>
      <c r="K73" s="19"/>
      <c r="L73" s="19"/>
      <c r="M73" s="19"/>
      <c r="N73" s="19"/>
      <c r="O73" s="19"/>
    </row>
    <row r="74" spans="1:15" ht="15" customHeight="1">
      <c r="A74" s="19"/>
      <c r="B74" s="19"/>
      <c r="C74" s="19"/>
      <c r="D74" s="19"/>
      <c r="E74" s="19"/>
      <c r="F74" s="19"/>
      <c r="G74" s="19"/>
      <c r="H74" s="19"/>
      <c r="I74" s="19"/>
      <c r="J74" s="19"/>
      <c r="K74" s="19"/>
      <c r="L74" s="19"/>
      <c r="M74" s="19"/>
      <c r="N74" s="19"/>
      <c r="O74" s="19"/>
    </row>
    <row r="75" spans="1:15" ht="15" customHeight="1" thickBot="1">
      <c r="A75" s="19"/>
      <c r="B75" s="19"/>
      <c r="C75" s="19"/>
      <c r="D75" s="19"/>
      <c r="E75" s="19"/>
      <c r="F75" s="19"/>
      <c r="G75" s="19"/>
      <c r="H75" s="19"/>
      <c r="I75" s="19"/>
      <c r="J75" s="19"/>
      <c r="K75" s="19"/>
      <c r="L75" s="19"/>
      <c r="M75" s="19"/>
      <c r="N75" s="19"/>
      <c r="O75" s="19"/>
    </row>
    <row r="76" spans="1:15" ht="9.9499999999999993" customHeight="1">
      <c r="A76" s="19"/>
      <c r="B76" s="750"/>
      <c r="C76" s="750"/>
      <c r="D76" s="750"/>
      <c r="E76" s="750"/>
      <c r="F76" s="750"/>
      <c r="G76" s="750"/>
      <c r="H76" s="750"/>
      <c r="I76" s="750"/>
      <c r="J76" s="750"/>
      <c r="K76" s="750"/>
      <c r="L76" s="750"/>
      <c r="M76" s="750"/>
      <c r="N76" s="750"/>
      <c r="O76" s="19"/>
    </row>
  </sheetData>
  <mergeCells count="45">
    <mergeCell ref="B10:N10"/>
    <mergeCell ref="B20:F20"/>
    <mergeCell ref="H14:J14"/>
    <mergeCell ref="H15:J15"/>
    <mergeCell ref="H16:J16"/>
    <mergeCell ref="H17:J17"/>
    <mergeCell ref="B12:F12"/>
    <mergeCell ref="H12:N12"/>
    <mergeCell ref="H20:N20"/>
    <mergeCell ref="C18:F18"/>
    <mergeCell ref="K18:N18"/>
    <mergeCell ref="B2:D2"/>
    <mergeCell ref="J2:N2"/>
    <mergeCell ref="B6:N6"/>
    <mergeCell ref="B7:G7"/>
    <mergeCell ref="B8:G8"/>
    <mergeCell ref="B76:N76"/>
    <mergeCell ref="F43:H43"/>
    <mergeCell ref="L43:N43"/>
    <mergeCell ref="I49:K49"/>
    <mergeCell ref="C54:E54"/>
    <mergeCell ref="C55:E55"/>
    <mergeCell ref="C56:E56"/>
    <mergeCell ref="C57:E57"/>
    <mergeCell ref="C58:E58"/>
    <mergeCell ref="L49:N49"/>
    <mergeCell ref="B51:H51"/>
    <mergeCell ref="B43:B44"/>
    <mergeCell ref="C43:E43"/>
    <mergeCell ref="B60:H60"/>
    <mergeCell ref="F62:H62"/>
    <mergeCell ref="F53:H53"/>
    <mergeCell ref="B49:E49"/>
    <mergeCell ref="C36:F36"/>
    <mergeCell ref="K36:N36"/>
    <mergeCell ref="E59:H59"/>
    <mergeCell ref="E68:H68"/>
    <mergeCell ref="C65:E65"/>
    <mergeCell ref="C66:E66"/>
    <mergeCell ref="C67:E67"/>
    <mergeCell ref="I43:K43"/>
    <mergeCell ref="C63:E63"/>
    <mergeCell ref="C64:E64"/>
    <mergeCell ref="B39:N39"/>
    <mergeCell ref="B41:N41"/>
  </mergeCells>
  <hyperlinks>
    <hyperlink ref="B4" location="INDICE!A1" display="Índice"/>
    <hyperlink ref="B37" location="'C01'!A1" display="Topo"/>
    <hyperlink ref="B70" location="'C01'!A1" display="Topo"/>
    <hyperlink ref="B7:H7" location="'B01'!A13" display="Situação Perante o Emprego"/>
    <hyperlink ref="B8:H8" location="'B01'!A36" display="Suporte Social"/>
    <hyperlink ref="B7:G7" location="'C01'!A10" display="Nascimentos em Mulheres em Idade de Risco"/>
    <hyperlink ref="B8:G8" location="'C01'!A39" display="Determinantes da Saúde nos Cuidados de Saúde Primários"/>
  </hyperlinks>
  <pageMargins left="0.39370078740157483" right="0.19685039370078741" top="0.78740157480314965" bottom="0.39370078740157483" header="0.31496062992125984" footer="0.31496062992125984"/>
  <pageSetup paperSize="9" scale="64" orientation="portrait" r:id="rId1"/>
  <drawing r:id="rId2"/>
</worksheet>
</file>

<file path=xl/worksheets/sheet8.xml><?xml version="1.0" encoding="utf-8"?>
<worksheet xmlns="http://schemas.openxmlformats.org/spreadsheetml/2006/main" xmlns:r="http://schemas.openxmlformats.org/officeDocument/2006/relationships">
  <sheetPr codeName="Folha7"/>
  <dimension ref="A1:O133"/>
  <sheetViews>
    <sheetView zoomScaleNormal="100" workbookViewId="0"/>
  </sheetViews>
  <sheetFormatPr defaultRowHeight="14.25"/>
  <cols>
    <col min="1" max="1" width="2.7109375" style="6" customWidth="1"/>
    <col min="2" max="2" width="26.28515625" style="6" customWidth="1"/>
    <col min="3" max="7" width="9.140625" style="6" customWidth="1"/>
    <col min="8" max="10" width="8.85546875" style="6" customWidth="1"/>
    <col min="11" max="14" width="9.140625" style="6" customWidth="1"/>
    <col min="15" max="15" width="2.7109375" style="6" customWidth="1"/>
    <col min="16" max="16384" width="9.140625" style="6"/>
  </cols>
  <sheetData>
    <row r="1" spans="1:15" ht="9.9499999999999993" customHeight="1">
      <c r="A1" s="19"/>
      <c r="B1" s="19"/>
      <c r="C1" s="19"/>
      <c r="D1" s="19"/>
      <c r="E1" s="19"/>
      <c r="F1" s="19"/>
      <c r="G1" s="19"/>
      <c r="H1" s="19"/>
      <c r="I1" s="19"/>
      <c r="J1" s="19"/>
      <c r="K1" s="19"/>
      <c r="L1" s="19"/>
      <c r="M1" s="19"/>
      <c r="N1" s="19"/>
      <c r="O1" s="19"/>
    </row>
    <row r="2" spans="1:15" ht="20.100000000000001" customHeight="1" thickBot="1">
      <c r="A2" s="19"/>
      <c r="B2" s="775" t="str">
        <f>AUX!A1</f>
        <v>Perfil Local de Saúde 2014</v>
      </c>
      <c r="C2" s="775"/>
      <c r="D2" s="131"/>
      <c r="E2" s="131"/>
      <c r="F2" s="131"/>
      <c r="G2" s="776">
        <f>AUX!A3</f>
        <v>0</v>
      </c>
      <c r="H2" s="776"/>
      <c r="I2" s="776"/>
      <c r="J2" s="776"/>
      <c r="K2" s="776"/>
      <c r="L2" s="776"/>
      <c r="M2" s="776"/>
      <c r="N2" s="776"/>
      <c r="O2" s="19"/>
    </row>
    <row r="3" spans="1:15" ht="9.9499999999999993" customHeight="1" thickTop="1">
      <c r="A3" s="19"/>
      <c r="B3" s="19"/>
      <c r="C3" s="19"/>
      <c r="D3" s="19"/>
      <c r="E3" s="19"/>
      <c r="F3" s="19"/>
      <c r="G3" s="19"/>
      <c r="H3" s="19"/>
      <c r="I3" s="19"/>
      <c r="J3" s="19"/>
      <c r="K3" s="19"/>
      <c r="L3" s="19"/>
      <c r="M3" s="19"/>
      <c r="N3" s="19"/>
      <c r="O3" s="19"/>
    </row>
    <row r="4" spans="1:15">
      <c r="A4" s="19"/>
      <c r="B4" s="135" t="s">
        <v>0</v>
      </c>
      <c r="C4" s="19"/>
      <c r="D4" s="19"/>
      <c r="E4" s="19"/>
      <c r="F4" s="19"/>
      <c r="G4" s="19"/>
      <c r="H4" s="19"/>
      <c r="I4" s="19"/>
      <c r="J4" s="19"/>
      <c r="K4" s="19"/>
      <c r="L4" s="19"/>
      <c r="M4" s="19"/>
      <c r="N4" s="19"/>
      <c r="O4" s="19"/>
    </row>
    <row r="5" spans="1:15" ht="15" customHeight="1">
      <c r="A5" s="19"/>
      <c r="B5" s="21"/>
      <c r="C5" s="19"/>
      <c r="D5" s="19"/>
      <c r="E5" s="19"/>
      <c r="F5" s="19"/>
      <c r="G5" s="19"/>
      <c r="H5" s="19"/>
      <c r="I5" s="19"/>
      <c r="J5" s="19"/>
      <c r="K5" s="19"/>
      <c r="L5" s="19"/>
      <c r="M5" s="19"/>
      <c r="N5" s="19"/>
      <c r="O5" s="19"/>
    </row>
    <row r="6" spans="1:15" s="133" customFormat="1" ht="24.95" customHeight="1">
      <c r="A6" s="132"/>
      <c r="B6" s="777" t="s">
        <v>7</v>
      </c>
      <c r="C6" s="777"/>
      <c r="D6" s="777"/>
      <c r="E6" s="777"/>
      <c r="F6" s="777"/>
      <c r="G6" s="777"/>
      <c r="H6" s="777"/>
      <c r="I6" s="777"/>
      <c r="J6" s="777"/>
      <c r="K6" s="777"/>
      <c r="L6" s="777"/>
      <c r="M6" s="777"/>
      <c r="N6" s="777"/>
      <c r="O6" s="132"/>
    </row>
    <row r="7" spans="1:15" ht="18" customHeight="1">
      <c r="A7" s="191"/>
      <c r="B7" s="774" t="s">
        <v>178</v>
      </c>
      <c r="C7" s="774"/>
      <c r="D7" s="774"/>
      <c r="E7" s="774"/>
      <c r="F7" s="774"/>
      <c r="G7" s="774"/>
      <c r="H7" s="191"/>
      <c r="I7" s="191"/>
      <c r="J7" s="191"/>
      <c r="K7" s="191"/>
      <c r="L7" s="191"/>
      <c r="M7" s="191"/>
      <c r="N7" s="191"/>
      <c r="O7" s="191"/>
    </row>
    <row r="8" spans="1:15" ht="15" customHeight="1">
      <c r="A8" s="19"/>
      <c r="B8" s="778" t="s">
        <v>38</v>
      </c>
      <c r="C8" s="778"/>
      <c r="D8" s="778"/>
      <c r="E8" s="778"/>
      <c r="F8" s="778"/>
      <c r="G8" s="778"/>
      <c r="H8" s="19"/>
      <c r="I8" s="19"/>
      <c r="J8" s="19"/>
      <c r="K8" s="19"/>
      <c r="L8" s="19"/>
      <c r="M8" s="19"/>
      <c r="N8" s="19"/>
      <c r="O8" s="19"/>
    </row>
    <row r="9" spans="1:15" ht="15" customHeight="1">
      <c r="A9" s="19"/>
      <c r="B9" s="773" t="s">
        <v>41</v>
      </c>
      <c r="C9" s="773"/>
      <c r="D9" s="773"/>
      <c r="E9" s="773"/>
      <c r="F9" s="773"/>
      <c r="G9" s="773"/>
      <c r="H9" s="19"/>
      <c r="I9" s="19"/>
      <c r="J9" s="19"/>
      <c r="K9" s="19"/>
      <c r="L9" s="19"/>
      <c r="M9" s="19"/>
      <c r="N9" s="19"/>
      <c r="O9" s="19"/>
    </row>
    <row r="10" spans="1:15" ht="15" customHeight="1">
      <c r="A10" s="19"/>
      <c r="B10" s="773" t="s">
        <v>127</v>
      </c>
      <c r="C10" s="773"/>
      <c r="D10" s="773"/>
      <c r="E10" s="773"/>
      <c r="F10" s="773"/>
      <c r="G10" s="773"/>
      <c r="H10" s="19"/>
      <c r="I10" s="19"/>
      <c r="J10" s="19"/>
      <c r="K10" s="19"/>
      <c r="L10" s="19"/>
      <c r="M10" s="19"/>
      <c r="N10" s="19"/>
      <c r="O10" s="19"/>
    </row>
    <row r="11" spans="1:15" ht="15" customHeight="1">
      <c r="A11" s="19"/>
      <c r="B11" s="773" t="s">
        <v>40</v>
      </c>
      <c r="C11" s="773"/>
      <c r="D11" s="773"/>
      <c r="E11" s="773"/>
      <c r="F11" s="773"/>
      <c r="G11" s="773"/>
      <c r="H11" s="134"/>
      <c r="I11" s="19"/>
      <c r="J11" s="19"/>
      <c r="K11" s="19"/>
      <c r="L11" s="19"/>
      <c r="M11" s="19"/>
      <c r="N11" s="19"/>
      <c r="O11" s="19"/>
    </row>
    <row r="12" spans="1:15" ht="15" customHeight="1">
      <c r="A12" s="19"/>
      <c r="B12" s="773" t="s">
        <v>364</v>
      </c>
      <c r="C12" s="773"/>
      <c r="D12" s="773"/>
      <c r="E12" s="773"/>
      <c r="F12" s="773"/>
      <c r="G12" s="773"/>
      <c r="H12" s="19"/>
      <c r="I12" s="19"/>
      <c r="J12" s="19"/>
      <c r="K12" s="19"/>
      <c r="L12" s="19"/>
      <c r="M12" s="19"/>
      <c r="N12" s="19"/>
      <c r="O12" s="19"/>
    </row>
    <row r="13" spans="1:15" ht="15" customHeight="1">
      <c r="A13" s="19"/>
      <c r="B13" s="774" t="s">
        <v>462</v>
      </c>
      <c r="C13" s="774"/>
      <c r="D13" s="774"/>
      <c r="E13" s="774"/>
      <c r="F13" s="774"/>
      <c r="G13" s="774"/>
      <c r="H13" s="19"/>
      <c r="I13" s="19"/>
      <c r="J13" s="19"/>
      <c r="K13" s="19"/>
      <c r="L13" s="19"/>
      <c r="M13" s="19"/>
      <c r="N13" s="19"/>
      <c r="O13" s="19"/>
    </row>
    <row r="14" spans="1:15" ht="15" customHeight="1">
      <c r="A14" s="19"/>
      <c r="B14" s="774" t="s">
        <v>125</v>
      </c>
      <c r="C14" s="774"/>
      <c r="D14" s="774"/>
      <c r="E14" s="774"/>
      <c r="F14" s="774"/>
      <c r="G14" s="774"/>
      <c r="H14" s="19"/>
      <c r="I14" s="19"/>
      <c r="J14" s="19"/>
      <c r="K14" s="19"/>
      <c r="L14" s="19"/>
      <c r="M14" s="19"/>
      <c r="N14" s="19"/>
      <c r="O14" s="19"/>
    </row>
    <row r="15" spans="1:15" ht="15" customHeight="1">
      <c r="A15" s="19"/>
      <c r="B15" s="774" t="s">
        <v>29</v>
      </c>
      <c r="C15" s="774"/>
      <c r="D15" s="774"/>
      <c r="E15" s="774"/>
      <c r="F15" s="774"/>
      <c r="G15" s="774"/>
      <c r="H15" s="19"/>
      <c r="I15" s="19"/>
      <c r="J15" s="19"/>
      <c r="K15" s="19"/>
      <c r="L15" s="19"/>
      <c r="M15" s="19"/>
      <c r="N15" s="19"/>
      <c r="O15" s="19"/>
    </row>
    <row r="16" spans="1:15" ht="20.100000000000001" customHeight="1">
      <c r="A16" s="19"/>
      <c r="B16" s="19"/>
      <c r="C16" s="19"/>
      <c r="D16" s="19"/>
      <c r="E16" s="19"/>
      <c r="F16" s="19"/>
      <c r="G16" s="19"/>
      <c r="H16" s="19"/>
      <c r="I16" s="19"/>
      <c r="J16" s="19"/>
      <c r="K16" s="19"/>
      <c r="L16" s="19"/>
      <c r="M16" s="19"/>
      <c r="N16" s="19"/>
      <c r="O16" s="19"/>
    </row>
    <row r="17" spans="1:15" ht="20.100000000000001" customHeight="1" thickBot="1">
      <c r="A17" s="191"/>
      <c r="B17" s="785" t="s">
        <v>178</v>
      </c>
      <c r="C17" s="785"/>
      <c r="D17" s="785"/>
      <c r="E17" s="785"/>
      <c r="F17" s="785"/>
      <c r="G17" s="785"/>
      <c r="H17" s="785"/>
      <c r="I17" s="785"/>
      <c r="J17" s="785"/>
      <c r="K17" s="785"/>
      <c r="L17" s="785"/>
      <c r="M17" s="785"/>
      <c r="N17" s="785"/>
      <c r="O17" s="191"/>
    </row>
    <row r="18" spans="1:15" ht="9.9499999999999993" customHeight="1">
      <c r="A18" s="191"/>
      <c r="B18" s="191"/>
      <c r="C18" s="191"/>
      <c r="D18" s="191"/>
      <c r="E18" s="191"/>
      <c r="F18" s="191"/>
      <c r="G18" s="191"/>
      <c r="H18" s="191"/>
      <c r="I18" s="191"/>
      <c r="J18" s="191"/>
      <c r="K18" s="191"/>
      <c r="L18" s="191"/>
      <c r="M18" s="191"/>
      <c r="N18" s="191"/>
      <c r="O18" s="191"/>
    </row>
    <row r="19" spans="1:15" ht="26.1" customHeight="1">
      <c r="A19" s="191"/>
      <c r="B19" s="782" t="s">
        <v>347</v>
      </c>
      <c r="C19" s="782"/>
      <c r="D19" s="782"/>
      <c r="E19" s="782"/>
      <c r="F19" s="782"/>
      <c r="G19" s="136"/>
      <c r="H19" s="782" t="s">
        <v>348</v>
      </c>
      <c r="I19" s="782"/>
      <c r="J19" s="782"/>
      <c r="K19" s="782"/>
      <c r="L19" s="782"/>
      <c r="M19" s="782"/>
      <c r="N19" s="782"/>
      <c r="O19" s="191"/>
    </row>
    <row r="20" spans="1:15" ht="5.0999999999999996" customHeight="1">
      <c r="A20" s="191"/>
      <c r="B20" s="27"/>
      <c r="C20" s="27"/>
      <c r="D20" s="27"/>
      <c r="E20" s="27"/>
      <c r="F20" s="27"/>
      <c r="G20" s="27"/>
      <c r="H20" s="27"/>
      <c r="I20" s="27"/>
      <c r="J20" s="27"/>
      <c r="K20" s="27"/>
      <c r="L20" s="27"/>
      <c r="M20" s="27"/>
      <c r="N20" s="27"/>
      <c r="O20" s="191"/>
    </row>
    <row r="21" spans="1:15" ht="20.100000000000001" customHeight="1">
      <c r="A21" s="191"/>
      <c r="B21" s="210" t="s">
        <v>8</v>
      </c>
      <c r="C21" s="481" t="s">
        <v>20</v>
      </c>
      <c r="D21" s="205" t="s">
        <v>47</v>
      </c>
      <c r="E21" s="205" t="s">
        <v>129</v>
      </c>
      <c r="F21" s="205" t="s">
        <v>297</v>
      </c>
      <c r="G21" s="208"/>
      <c r="H21" s="789" t="s">
        <v>8</v>
      </c>
      <c r="I21" s="790"/>
      <c r="J21" s="791"/>
      <c r="K21" s="481" t="s">
        <v>20</v>
      </c>
      <c r="L21" s="205" t="s">
        <v>47</v>
      </c>
      <c r="M21" s="205" t="s">
        <v>129</v>
      </c>
      <c r="N21" s="205" t="s">
        <v>297</v>
      </c>
      <c r="O21" s="191"/>
    </row>
    <row r="22" spans="1:15" ht="15" customHeight="1">
      <c r="A22" s="191"/>
      <c r="B22" s="96" t="s">
        <v>16</v>
      </c>
      <c r="C22" s="138">
        <f>AUX!C237</f>
        <v>6.3536333409161028</v>
      </c>
      <c r="D22" s="138">
        <f>AUX!F237</f>
        <v>7.1021596256387838</v>
      </c>
      <c r="E22" s="138">
        <f>AUX!I237</f>
        <v>8.9602006159018419</v>
      </c>
      <c r="F22" s="138">
        <f>AUX!L237</f>
        <v>7.6956871933806834</v>
      </c>
      <c r="G22" s="138"/>
      <c r="H22" s="770" t="s">
        <v>16</v>
      </c>
      <c r="I22" s="771"/>
      <c r="J22" s="772"/>
      <c r="K22" s="138">
        <f>AUX!G243</f>
        <v>7.3056344128911226</v>
      </c>
      <c r="L22" s="138">
        <f>AUX!J243</f>
        <v>7.5629319740766601</v>
      </c>
      <c r="M22" s="139">
        <f>AUX!M243</f>
        <v>7.9181966614537762</v>
      </c>
      <c r="N22" s="139">
        <f>AUX!P243</f>
        <v>8.4403602548143795</v>
      </c>
      <c r="O22" s="191"/>
    </row>
    <row r="23" spans="1:15" ht="15" customHeight="1">
      <c r="A23" s="191"/>
      <c r="B23" s="117">
        <f>AUX!A2</f>
        <v>0</v>
      </c>
      <c r="C23" s="140">
        <f>AUX!C238</f>
        <v>0</v>
      </c>
      <c r="D23" s="140">
        <f>AUX!F238</f>
        <v>0</v>
      </c>
      <c r="E23" s="140">
        <f>AUX!I238</f>
        <v>0</v>
      </c>
      <c r="F23" s="140">
        <f>AUX!L238</f>
        <v>0</v>
      </c>
      <c r="G23" s="138"/>
      <c r="H23" s="779">
        <f>AUX!A2</f>
        <v>0</v>
      </c>
      <c r="I23" s="780"/>
      <c r="J23" s="781"/>
      <c r="K23" s="140">
        <f>AUX!G244</f>
        <v>0</v>
      </c>
      <c r="L23" s="140">
        <f>AUX!J244</f>
        <v>0</v>
      </c>
      <c r="M23" s="141">
        <f>AUX!M244</f>
        <v>0</v>
      </c>
      <c r="N23" s="141">
        <f>AUX!P244</f>
        <v>0</v>
      </c>
      <c r="O23" s="191"/>
    </row>
    <row r="24" spans="1:15" ht="15" customHeight="1">
      <c r="A24" s="191"/>
      <c r="B24" s="603">
        <f>AUX!A3</f>
        <v>0</v>
      </c>
      <c r="C24" s="119">
        <f>AUX!C239</f>
        <v>0</v>
      </c>
      <c r="D24" s="119">
        <f>AUX!F239</f>
        <v>0</v>
      </c>
      <c r="E24" s="119">
        <f>AUX!I239</f>
        <v>0</v>
      </c>
      <c r="F24" s="119">
        <f>AUX!L239</f>
        <v>0</v>
      </c>
      <c r="G24" s="138"/>
      <c r="H24" s="792">
        <f>AUX!A3</f>
        <v>0</v>
      </c>
      <c r="I24" s="793"/>
      <c r="J24" s="794"/>
      <c r="K24" s="119">
        <f>AUX!G245</f>
        <v>0</v>
      </c>
      <c r="L24" s="119">
        <f>AUX!J245</f>
        <v>0</v>
      </c>
      <c r="M24" s="211">
        <f>AUX!M245</f>
        <v>0</v>
      </c>
      <c r="N24" s="211">
        <f>AUX!P245</f>
        <v>0</v>
      </c>
      <c r="O24" s="191"/>
    </row>
    <row r="25" spans="1:15" ht="15" customHeight="1">
      <c r="A25" s="191"/>
      <c r="B25" s="31"/>
      <c r="C25" s="655" t="s">
        <v>690</v>
      </c>
      <c r="D25" s="655"/>
      <c r="E25" s="655"/>
      <c r="F25" s="655"/>
      <c r="G25" s="28"/>
      <c r="H25" s="28"/>
      <c r="I25" s="28"/>
      <c r="J25" s="28"/>
      <c r="K25" s="655" t="s">
        <v>690</v>
      </c>
      <c r="L25" s="655"/>
      <c r="M25" s="655"/>
      <c r="N25" s="655"/>
      <c r="O25" s="191"/>
    </row>
    <row r="26" spans="1:15" ht="15" customHeight="1">
      <c r="A26" s="191"/>
      <c r="B26" s="31"/>
      <c r="C26" s="27"/>
      <c r="D26" s="27"/>
      <c r="E26" s="27"/>
      <c r="F26" s="28"/>
      <c r="G26" s="28"/>
      <c r="H26" s="28"/>
      <c r="I26" s="28"/>
      <c r="J26" s="28"/>
      <c r="K26" s="28"/>
      <c r="L26" s="28"/>
      <c r="M26" s="28"/>
      <c r="N26" s="28"/>
      <c r="O26" s="191"/>
    </row>
    <row r="27" spans="1:15" ht="24" customHeight="1">
      <c r="A27" s="191"/>
      <c r="B27" s="782" t="s">
        <v>349</v>
      </c>
      <c r="C27" s="782"/>
      <c r="D27" s="782"/>
      <c r="E27" s="782"/>
      <c r="F27" s="782"/>
      <c r="H27" s="782" t="s">
        <v>350</v>
      </c>
      <c r="I27" s="782"/>
      <c r="J27" s="782"/>
      <c r="K27" s="782"/>
      <c r="L27" s="782"/>
      <c r="M27" s="782"/>
      <c r="N27" s="782"/>
      <c r="O27" s="191"/>
    </row>
    <row r="28" spans="1:15" ht="5.0999999999999996" customHeight="1">
      <c r="A28" s="191"/>
      <c r="B28" s="191"/>
      <c r="C28" s="191"/>
      <c r="D28" s="191"/>
      <c r="E28" s="191"/>
      <c r="F28" s="191"/>
      <c r="G28" s="191"/>
      <c r="H28" s="191"/>
      <c r="I28" s="191"/>
      <c r="J28" s="191"/>
      <c r="K28" s="191"/>
      <c r="L28" s="191"/>
      <c r="M28" s="191"/>
      <c r="N28" s="191"/>
      <c r="O28" s="191"/>
    </row>
    <row r="29" spans="1:15" ht="15" customHeight="1">
      <c r="A29" s="191"/>
      <c r="B29" s="27"/>
      <c r="C29" s="27"/>
      <c r="D29" s="27"/>
      <c r="E29" s="27"/>
      <c r="F29" s="28"/>
      <c r="G29" s="28"/>
      <c r="H29" s="28"/>
      <c r="I29" s="28"/>
      <c r="J29" s="28"/>
      <c r="K29" s="28"/>
      <c r="L29" s="28"/>
      <c r="M29" s="28"/>
      <c r="N29" s="28"/>
      <c r="O29" s="191"/>
    </row>
    <row r="30" spans="1:15" ht="15" customHeight="1">
      <c r="A30" s="191"/>
      <c r="B30" s="27"/>
      <c r="C30" s="27"/>
      <c r="D30" s="27"/>
      <c r="E30" s="27"/>
      <c r="F30" s="28"/>
      <c r="G30" s="28"/>
      <c r="H30" s="28"/>
      <c r="I30" s="28"/>
      <c r="J30" s="28"/>
      <c r="K30" s="28"/>
      <c r="L30" s="28"/>
      <c r="M30" s="28"/>
      <c r="N30" s="28"/>
      <c r="O30" s="191"/>
    </row>
    <row r="31" spans="1:15" ht="15" customHeight="1">
      <c r="A31" s="191"/>
      <c r="B31" s="27"/>
      <c r="C31" s="27"/>
      <c r="D31" s="27"/>
      <c r="E31" s="27"/>
      <c r="F31" s="28"/>
      <c r="G31" s="28"/>
      <c r="H31" s="28"/>
      <c r="I31" s="28"/>
      <c r="J31" s="28"/>
      <c r="K31" s="28"/>
      <c r="L31" s="28"/>
      <c r="M31" s="28"/>
      <c r="N31" s="28"/>
      <c r="O31" s="191"/>
    </row>
    <row r="32" spans="1:15" ht="15" customHeight="1">
      <c r="A32" s="191"/>
      <c r="B32" s="27"/>
      <c r="C32" s="27"/>
      <c r="D32" s="27"/>
      <c r="E32" s="27"/>
      <c r="F32" s="28"/>
      <c r="G32" s="28"/>
      <c r="H32" s="28"/>
      <c r="I32" s="28"/>
      <c r="J32" s="28"/>
      <c r="K32" s="28"/>
      <c r="L32" s="28"/>
      <c r="M32" s="28"/>
      <c r="N32" s="28"/>
      <c r="O32" s="191"/>
    </row>
    <row r="33" spans="1:15" ht="15" customHeight="1">
      <c r="A33" s="191"/>
      <c r="B33" s="27"/>
      <c r="C33" s="27"/>
      <c r="D33" s="27"/>
      <c r="E33" s="27"/>
      <c r="F33" s="28"/>
      <c r="G33" s="28"/>
      <c r="H33" s="28"/>
      <c r="I33" s="28"/>
      <c r="J33" s="28"/>
      <c r="K33" s="28"/>
      <c r="L33" s="28"/>
      <c r="M33" s="28"/>
      <c r="N33" s="28"/>
      <c r="O33" s="191"/>
    </row>
    <row r="34" spans="1:15" ht="15" customHeight="1">
      <c r="A34" s="191"/>
      <c r="B34" s="191"/>
      <c r="C34" s="191"/>
      <c r="D34" s="191"/>
      <c r="E34" s="191"/>
      <c r="F34" s="191"/>
      <c r="G34" s="191"/>
      <c r="H34" s="191"/>
      <c r="I34" s="191"/>
      <c r="J34" s="191"/>
      <c r="K34" s="191"/>
      <c r="L34" s="191"/>
      <c r="M34" s="191"/>
      <c r="N34" s="191"/>
      <c r="O34" s="191"/>
    </row>
    <row r="35" spans="1:15" ht="15" customHeight="1">
      <c r="A35" s="191"/>
      <c r="B35" s="191"/>
      <c r="C35" s="191"/>
      <c r="D35" s="191"/>
      <c r="E35" s="191"/>
      <c r="F35" s="191"/>
      <c r="G35" s="191"/>
      <c r="H35" s="191"/>
      <c r="I35" s="191"/>
      <c r="J35" s="191"/>
      <c r="K35" s="191"/>
      <c r="L35" s="191"/>
      <c r="M35" s="191"/>
      <c r="N35" s="191"/>
      <c r="O35" s="191"/>
    </row>
    <row r="36" spans="1:15" ht="15" customHeight="1">
      <c r="A36" s="191"/>
      <c r="B36" s="31"/>
      <c r="C36" s="27"/>
      <c r="D36" s="27"/>
      <c r="E36" s="27"/>
      <c r="F36" s="28"/>
      <c r="G36" s="28"/>
      <c r="H36" s="28"/>
      <c r="I36" s="28"/>
      <c r="J36" s="28"/>
      <c r="K36" s="28"/>
      <c r="L36" s="28"/>
      <c r="M36" s="28"/>
      <c r="N36" s="28"/>
      <c r="O36" s="191"/>
    </row>
    <row r="37" spans="1:15" ht="15" customHeight="1">
      <c r="A37" s="191"/>
      <c r="B37" s="27"/>
      <c r="C37" s="27"/>
      <c r="D37" s="27"/>
      <c r="E37" s="27"/>
      <c r="F37" s="28"/>
      <c r="G37" s="28"/>
      <c r="H37" s="28"/>
      <c r="I37" s="28"/>
      <c r="J37" s="28"/>
      <c r="K37" s="28"/>
      <c r="L37" s="28"/>
      <c r="M37" s="28"/>
      <c r="N37" s="28"/>
      <c r="O37" s="191"/>
    </row>
    <row r="38" spans="1:15" ht="15" customHeight="1">
      <c r="A38" s="191"/>
      <c r="B38" s="27"/>
      <c r="C38" s="27"/>
      <c r="D38" s="27"/>
      <c r="E38" s="27"/>
      <c r="F38" s="28"/>
      <c r="G38" s="28"/>
      <c r="H38" s="28"/>
      <c r="I38" s="28"/>
      <c r="J38" s="28"/>
      <c r="K38" s="28"/>
      <c r="L38" s="28"/>
      <c r="M38" s="28"/>
      <c r="N38" s="28"/>
      <c r="O38" s="191"/>
    </row>
    <row r="39" spans="1:15" ht="15" customHeight="1">
      <c r="A39" s="191"/>
      <c r="B39" s="191"/>
      <c r="C39" s="191"/>
      <c r="D39" s="191"/>
      <c r="E39" s="191"/>
      <c r="F39" s="191"/>
      <c r="G39" s="191"/>
      <c r="H39" s="191"/>
      <c r="I39" s="191"/>
      <c r="J39" s="191"/>
      <c r="K39" s="191"/>
      <c r="L39" s="191"/>
      <c r="M39" s="191"/>
      <c r="N39" s="191"/>
      <c r="O39" s="191"/>
    </row>
    <row r="40" spans="1:15" ht="15" customHeight="1">
      <c r="A40" s="191"/>
      <c r="B40" s="191"/>
      <c r="C40" s="191"/>
      <c r="D40" s="191"/>
      <c r="E40" s="191"/>
      <c r="F40" s="191"/>
      <c r="G40" s="191"/>
      <c r="H40" s="191"/>
      <c r="I40" s="191"/>
      <c r="J40" s="191"/>
      <c r="K40" s="191"/>
      <c r="L40" s="191"/>
      <c r="M40" s="191"/>
      <c r="N40" s="191"/>
      <c r="O40" s="191"/>
    </row>
    <row r="41" spans="1:15" ht="15" customHeight="1">
      <c r="A41" s="191"/>
      <c r="B41" s="31"/>
      <c r="C41" s="27"/>
      <c r="D41" s="27"/>
      <c r="E41" s="27"/>
      <c r="F41" s="28"/>
      <c r="G41" s="28"/>
      <c r="H41" s="28"/>
      <c r="I41" s="28"/>
      <c r="J41" s="28"/>
      <c r="K41" s="28"/>
      <c r="L41" s="28"/>
      <c r="M41" s="28"/>
      <c r="N41" s="28"/>
      <c r="O41" s="191"/>
    </row>
    <row r="42" spans="1:15" ht="15" customHeight="1">
      <c r="A42" s="191"/>
      <c r="B42" s="27"/>
      <c r="C42" s="27"/>
      <c r="D42" s="27"/>
      <c r="E42" s="27"/>
      <c r="F42" s="28"/>
      <c r="G42" s="28"/>
      <c r="H42" s="28"/>
      <c r="I42" s="28"/>
      <c r="J42" s="28"/>
      <c r="K42" s="28"/>
      <c r="L42" s="28"/>
      <c r="M42" s="28"/>
      <c r="N42" s="28"/>
      <c r="O42" s="191"/>
    </row>
    <row r="43" spans="1:15" ht="15" customHeight="1">
      <c r="A43" s="191"/>
      <c r="B43" s="114" t="s">
        <v>28</v>
      </c>
      <c r="C43" s="655" t="s">
        <v>690</v>
      </c>
      <c r="D43" s="655"/>
      <c r="E43" s="655"/>
      <c r="F43" s="655"/>
      <c r="G43" s="28"/>
      <c r="H43" s="28"/>
      <c r="I43" s="28"/>
      <c r="J43" s="28"/>
      <c r="K43" s="655" t="s">
        <v>690</v>
      </c>
      <c r="L43" s="655"/>
      <c r="M43" s="655"/>
      <c r="N43" s="655"/>
      <c r="O43" s="191"/>
    </row>
    <row r="44" spans="1:15" ht="20.100000000000001" customHeight="1">
      <c r="A44" s="191"/>
      <c r="B44" s="191"/>
      <c r="C44" s="191"/>
      <c r="D44" s="191"/>
      <c r="E44" s="191"/>
      <c r="F44" s="191"/>
      <c r="G44" s="191"/>
      <c r="H44" s="191"/>
      <c r="I44" s="191"/>
      <c r="J44" s="191"/>
      <c r="K44" s="191"/>
      <c r="L44" s="191"/>
      <c r="M44" s="191"/>
      <c r="N44" s="191"/>
      <c r="O44" s="191"/>
    </row>
    <row r="45" spans="1:15" ht="20.100000000000001" customHeight="1" thickBot="1">
      <c r="A45" s="19"/>
      <c r="B45" s="785" t="s">
        <v>41</v>
      </c>
      <c r="C45" s="785"/>
      <c r="D45" s="785"/>
      <c r="E45" s="785"/>
      <c r="F45" s="785"/>
      <c r="G45" s="785"/>
      <c r="H45" s="785"/>
      <c r="I45" s="785"/>
      <c r="J45" s="785"/>
      <c r="K45" s="785"/>
      <c r="L45" s="785"/>
      <c r="M45" s="785"/>
      <c r="N45" s="785"/>
      <c r="O45" s="19"/>
    </row>
    <row r="46" spans="1:15" ht="9.9499999999999993" customHeight="1">
      <c r="A46" s="19"/>
      <c r="B46" s="19"/>
      <c r="C46" s="19"/>
      <c r="D46" s="19"/>
      <c r="E46" s="19"/>
      <c r="F46" s="19"/>
      <c r="G46" s="19"/>
      <c r="H46" s="19"/>
      <c r="I46" s="19"/>
      <c r="J46" s="19"/>
      <c r="K46" s="19"/>
      <c r="L46" s="19"/>
      <c r="M46" s="19"/>
      <c r="N46" s="19"/>
      <c r="O46" s="19"/>
    </row>
    <row r="47" spans="1:15" ht="15.95" customHeight="1">
      <c r="A47" s="19"/>
      <c r="B47" s="784" t="s">
        <v>352</v>
      </c>
      <c r="C47" s="784"/>
      <c r="D47" s="784"/>
      <c r="E47" s="784"/>
      <c r="F47" s="784"/>
      <c r="G47" s="63"/>
      <c r="H47" s="784" t="s">
        <v>353</v>
      </c>
      <c r="I47" s="784"/>
      <c r="J47" s="784"/>
      <c r="K47" s="784"/>
      <c r="L47" s="784"/>
      <c r="M47" s="784"/>
      <c r="N47" s="784"/>
      <c r="O47" s="19"/>
    </row>
    <row r="48" spans="1:15" ht="5.0999999999999996" customHeight="1">
      <c r="A48" s="19"/>
      <c r="B48" s="27"/>
      <c r="C48" s="27"/>
      <c r="D48" s="27"/>
      <c r="E48" s="27"/>
      <c r="F48" s="27"/>
      <c r="G48" s="27"/>
      <c r="H48" s="27"/>
      <c r="I48" s="27"/>
      <c r="J48" s="27"/>
      <c r="K48" s="27"/>
      <c r="L48" s="27"/>
      <c r="M48" s="27"/>
      <c r="N48" s="27"/>
      <c r="O48" s="19"/>
    </row>
    <row r="49" spans="1:15" ht="21.95" customHeight="1">
      <c r="A49" s="19"/>
      <c r="B49" s="115" t="s">
        <v>8</v>
      </c>
      <c r="C49" s="116">
        <v>1997</v>
      </c>
      <c r="D49" s="116">
        <v>2002</v>
      </c>
      <c r="E49" s="116">
        <v>2007</v>
      </c>
      <c r="F49" s="116">
        <v>2012</v>
      </c>
      <c r="G49" s="91"/>
      <c r="H49" s="91"/>
      <c r="I49" s="91"/>
      <c r="J49" s="91"/>
      <c r="K49" s="91"/>
      <c r="L49" s="91"/>
      <c r="M49" s="91"/>
      <c r="N49" s="91"/>
      <c r="O49" s="19"/>
    </row>
    <row r="50" spans="1:15" ht="18" customHeight="1">
      <c r="A50" s="19"/>
      <c r="B50" s="96" t="s">
        <v>16</v>
      </c>
      <c r="C50" s="589">
        <f>AUX!C249</f>
        <v>99355</v>
      </c>
      <c r="D50" s="589">
        <f>AUX!H249</f>
        <v>100880</v>
      </c>
      <c r="E50" s="589">
        <f>AUX!M249</f>
        <v>98668</v>
      </c>
      <c r="F50" s="589">
        <f>AUX!R249</f>
        <v>102808</v>
      </c>
      <c r="G50" s="92"/>
      <c r="H50" s="92"/>
      <c r="I50" s="92"/>
      <c r="J50" s="92"/>
      <c r="K50" s="92"/>
      <c r="L50" s="92"/>
      <c r="M50" s="92"/>
      <c r="N50" s="92"/>
      <c r="O50" s="19"/>
    </row>
    <row r="51" spans="1:15" ht="18" customHeight="1">
      <c r="A51" s="19"/>
      <c r="B51" s="117">
        <f>AUX!A2</f>
        <v>0</v>
      </c>
      <c r="C51" s="590">
        <f>AUX!C250</f>
        <v>0</v>
      </c>
      <c r="D51" s="590">
        <f>AUX!H250</f>
        <v>0</v>
      </c>
      <c r="E51" s="590">
        <f>AUX!M250</f>
        <v>0</v>
      </c>
      <c r="F51" s="590">
        <f>AUX!R250</f>
        <v>0</v>
      </c>
      <c r="G51" s="92"/>
      <c r="H51" s="92"/>
      <c r="I51" s="92"/>
      <c r="J51" s="92"/>
      <c r="K51" s="92"/>
      <c r="L51" s="92"/>
      <c r="M51" s="92"/>
      <c r="N51" s="92"/>
      <c r="O51" s="19"/>
    </row>
    <row r="52" spans="1:15" ht="18" customHeight="1">
      <c r="A52" s="19"/>
      <c r="B52" s="603">
        <f>AUX!A3</f>
        <v>0</v>
      </c>
      <c r="C52" s="591">
        <f>AUX!C251</f>
        <v>0</v>
      </c>
      <c r="D52" s="591">
        <f>AUX!H251</f>
        <v>0</v>
      </c>
      <c r="E52" s="591">
        <f>AUX!M251</f>
        <v>0</v>
      </c>
      <c r="F52" s="591">
        <f>AUX!R251</f>
        <v>0</v>
      </c>
      <c r="G52" s="93"/>
      <c r="H52" s="93"/>
      <c r="I52" s="93"/>
      <c r="J52" s="93"/>
      <c r="K52" s="93"/>
      <c r="L52" s="93"/>
      <c r="M52" s="93"/>
      <c r="N52" s="93"/>
      <c r="O52" s="19"/>
    </row>
    <row r="53" spans="1:15" ht="20.100000000000001" customHeight="1">
      <c r="A53" s="19"/>
      <c r="B53" s="31"/>
      <c r="C53" s="27"/>
      <c r="D53" s="27"/>
      <c r="E53" s="27"/>
      <c r="F53" s="28"/>
      <c r="G53" s="28"/>
      <c r="H53" s="28"/>
      <c r="I53" s="28"/>
      <c r="J53" s="28"/>
      <c r="K53" s="28"/>
      <c r="L53" s="28"/>
      <c r="M53" s="28"/>
      <c r="N53" s="28"/>
      <c r="O53" s="19"/>
    </row>
    <row r="54" spans="1:15" ht="15.95" customHeight="1">
      <c r="A54" s="19"/>
      <c r="B54" s="784" t="s">
        <v>351</v>
      </c>
      <c r="C54" s="784"/>
      <c r="D54" s="784"/>
      <c r="E54" s="784"/>
      <c r="F54" s="784"/>
      <c r="G54" s="784"/>
      <c r="H54" s="136"/>
      <c r="I54" s="136"/>
      <c r="J54" s="136"/>
      <c r="K54" s="136"/>
      <c r="L54" s="136"/>
      <c r="M54" s="136"/>
      <c r="N54" s="136"/>
      <c r="O54" s="19"/>
    </row>
    <row r="55" spans="1:15" ht="5.0999999999999996" customHeight="1">
      <c r="A55" s="19"/>
      <c r="B55" s="27"/>
      <c r="C55" s="27"/>
      <c r="D55" s="27"/>
      <c r="E55" s="27"/>
      <c r="F55" s="27"/>
      <c r="G55" s="27"/>
      <c r="H55" s="27"/>
      <c r="I55" s="27"/>
      <c r="J55" s="27"/>
      <c r="K55" s="27"/>
      <c r="L55" s="27"/>
      <c r="M55" s="27"/>
      <c r="N55" s="27"/>
      <c r="O55" s="19"/>
    </row>
    <row r="56" spans="1:15" ht="21.95" customHeight="1">
      <c r="A56" s="19"/>
      <c r="B56" s="115" t="s">
        <v>8</v>
      </c>
      <c r="C56" s="116">
        <v>1997</v>
      </c>
      <c r="D56" s="116">
        <v>2002</v>
      </c>
      <c r="E56" s="116">
        <v>2007</v>
      </c>
      <c r="F56" s="116">
        <v>2012</v>
      </c>
      <c r="G56" s="91"/>
      <c r="H56" s="91"/>
      <c r="I56" s="91"/>
      <c r="J56" s="91"/>
      <c r="K56" s="91"/>
      <c r="L56" s="91"/>
      <c r="M56" s="91"/>
      <c r="N56" s="91"/>
      <c r="O56" s="19"/>
    </row>
    <row r="57" spans="1:15" ht="18" customHeight="1">
      <c r="A57" s="19"/>
      <c r="B57" s="96" t="s">
        <v>16</v>
      </c>
      <c r="C57" s="51">
        <f>AUX!C255</f>
        <v>10.321375458978128</v>
      </c>
      <c r="D57" s="51">
        <f>AUX!H255</f>
        <v>10.162100000785729</v>
      </c>
      <c r="E57" s="51">
        <f>AUX!M255</f>
        <v>9.8327011755931615</v>
      </c>
      <c r="F57" s="51">
        <f>AUX!R255</f>
        <v>10.276886047948638</v>
      </c>
      <c r="G57" s="94"/>
      <c r="H57" s="94"/>
      <c r="I57" s="94"/>
      <c r="J57" s="94"/>
      <c r="K57" s="94"/>
      <c r="L57" s="94"/>
      <c r="M57" s="94"/>
      <c r="N57" s="94"/>
      <c r="O57" s="19"/>
    </row>
    <row r="58" spans="1:15" ht="18" customHeight="1">
      <c r="A58" s="19"/>
      <c r="B58" s="117">
        <f>AUX!A2</f>
        <v>0</v>
      </c>
      <c r="C58" s="118">
        <f>AUX!C256</f>
        <v>0</v>
      </c>
      <c r="D58" s="118">
        <f>AUX!H256</f>
        <v>0</v>
      </c>
      <c r="E58" s="118">
        <f>AUX!M256</f>
        <v>0</v>
      </c>
      <c r="F58" s="118">
        <f>AUX!R256</f>
        <v>0</v>
      </c>
      <c r="G58" s="94"/>
      <c r="H58" s="94"/>
      <c r="I58" s="94"/>
      <c r="J58" s="94"/>
      <c r="K58" s="94"/>
      <c r="L58" s="94"/>
      <c r="M58" s="94"/>
      <c r="N58" s="94"/>
      <c r="O58" s="19"/>
    </row>
    <row r="59" spans="1:15" ht="18" customHeight="1">
      <c r="A59" s="19"/>
      <c r="B59" s="603">
        <f>AUX!A3</f>
        <v>0</v>
      </c>
      <c r="C59" s="119">
        <f>AUX!C257</f>
        <v>0</v>
      </c>
      <c r="D59" s="119">
        <f>AUX!H257</f>
        <v>0</v>
      </c>
      <c r="E59" s="119">
        <f>AUX!M257</f>
        <v>0</v>
      </c>
      <c r="F59" s="119">
        <f>AUX!R257</f>
        <v>0</v>
      </c>
      <c r="G59" s="95"/>
      <c r="H59" s="95"/>
      <c r="I59" s="95"/>
      <c r="J59" s="95"/>
      <c r="K59" s="95"/>
      <c r="L59" s="95"/>
      <c r="M59" s="95"/>
      <c r="N59" s="95"/>
      <c r="O59" s="19"/>
    </row>
    <row r="60" spans="1:15" ht="15" customHeight="1">
      <c r="A60" s="19"/>
      <c r="B60" s="31"/>
      <c r="C60" s="655" t="s">
        <v>690</v>
      </c>
      <c r="D60" s="655"/>
      <c r="E60" s="655"/>
      <c r="F60" s="655"/>
      <c r="G60" s="28"/>
      <c r="H60" s="28"/>
      <c r="I60" s="28"/>
      <c r="J60" s="28"/>
      <c r="K60" s="28"/>
      <c r="L60" s="28"/>
      <c r="M60" s="28"/>
      <c r="N60" s="28"/>
      <c r="O60" s="19"/>
    </row>
    <row r="61" spans="1:15" ht="15" customHeight="1">
      <c r="A61" s="19"/>
      <c r="B61" s="114" t="s">
        <v>28</v>
      </c>
      <c r="C61" s="27"/>
      <c r="D61" s="27"/>
      <c r="E61" s="27"/>
      <c r="F61" s="28"/>
      <c r="G61" s="28"/>
      <c r="H61" s="28"/>
      <c r="I61" s="28"/>
      <c r="J61" s="28"/>
      <c r="K61" s="655" t="s">
        <v>690</v>
      </c>
      <c r="L61" s="655"/>
      <c r="M61" s="655"/>
      <c r="N61" s="655"/>
      <c r="O61" s="19"/>
    </row>
    <row r="62" spans="1:15" ht="20.100000000000001" customHeight="1">
      <c r="A62" s="19"/>
      <c r="B62" s="19"/>
      <c r="C62" s="19"/>
      <c r="D62" s="19"/>
      <c r="E62" s="19"/>
      <c r="F62" s="19"/>
      <c r="G62" s="19"/>
      <c r="H62" s="19"/>
      <c r="I62" s="19"/>
      <c r="J62" s="19"/>
      <c r="K62" s="19"/>
      <c r="L62" s="19"/>
      <c r="M62" s="19"/>
      <c r="N62" s="19"/>
      <c r="O62" s="19"/>
    </row>
    <row r="63" spans="1:15" ht="20.100000000000001" customHeight="1" thickBot="1">
      <c r="A63" s="19"/>
      <c r="B63" s="785" t="s">
        <v>127</v>
      </c>
      <c r="C63" s="785"/>
      <c r="D63" s="785"/>
      <c r="E63" s="785"/>
      <c r="F63" s="785"/>
      <c r="G63" s="785"/>
      <c r="H63" s="785"/>
      <c r="I63" s="785"/>
      <c r="J63" s="785"/>
      <c r="K63" s="785"/>
      <c r="L63" s="785"/>
      <c r="M63" s="785"/>
      <c r="N63" s="785"/>
      <c r="O63" s="19"/>
    </row>
    <row r="64" spans="1:15" ht="9.9499999999999993" customHeight="1">
      <c r="A64" s="19"/>
      <c r="B64" s="19"/>
      <c r="C64" s="19"/>
      <c r="D64" s="19"/>
      <c r="E64" s="19"/>
      <c r="F64" s="19"/>
      <c r="G64" s="19"/>
      <c r="H64" s="19"/>
      <c r="I64" s="19"/>
      <c r="J64" s="19"/>
      <c r="K64" s="19"/>
      <c r="L64" s="19"/>
      <c r="M64" s="19"/>
      <c r="N64" s="19"/>
      <c r="O64" s="19"/>
    </row>
    <row r="65" spans="1:15" ht="15.95" customHeight="1">
      <c r="A65" s="19"/>
      <c r="B65" s="784" t="str">
        <f>"EVOLUÇÃO DE INDICADORES DE MORTALIDADE INFANTIL E COMPONENTES " &amp; AUX!E3 &amp; " (2001-2003 A 2010-2012)"</f>
        <v>EVOLUÇÃO DE INDICADORES DE MORTALIDADE INFANTIL E COMPONENTES NO  (2001-2003 A 2010-2012)</v>
      </c>
      <c r="C65" s="784"/>
      <c r="D65" s="784"/>
      <c r="E65" s="784"/>
      <c r="F65" s="784"/>
      <c r="G65" s="784"/>
      <c r="H65" s="784"/>
      <c r="I65" s="784"/>
      <c r="J65" s="784"/>
      <c r="K65" s="784"/>
      <c r="L65" s="784"/>
      <c r="M65" s="784"/>
      <c r="N65" s="784"/>
      <c r="O65" s="19"/>
    </row>
    <row r="66" spans="1:15" ht="5.0999999999999996" customHeight="1">
      <c r="A66" s="19"/>
      <c r="B66" s="27"/>
      <c r="C66" s="27"/>
      <c r="D66" s="27"/>
      <c r="E66" s="27"/>
      <c r="F66" s="27"/>
      <c r="G66" s="27"/>
      <c r="H66" s="27"/>
      <c r="I66" s="27"/>
      <c r="J66" s="27"/>
      <c r="K66" s="27"/>
      <c r="L66" s="27"/>
      <c r="M66" s="27"/>
      <c r="N66" s="27"/>
      <c r="O66" s="19"/>
    </row>
    <row r="67" spans="1:15" ht="20.100000000000001" customHeight="1">
      <c r="A67" s="19"/>
      <c r="B67" s="201" t="s">
        <v>72</v>
      </c>
      <c r="C67" s="202"/>
      <c r="D67" s="203"/>
      <c r="E67" s="204" t="s">
        <v>20</v>
      </c>
      <c r="F67" s="204" t="s">
        <v>21</v>
      </c>
      <c r="G67" s="205" t="s">
        <v>22</v>
      </c>
      <c r="H67" s="205" t="s">
        <v>47</v>
      </c>
      <c r="I67" s="206" t="s">
        <v>48</v>
      </c>
      <c r="J67" s="205" t="s">
        <v>172</v>
      </c>
      <c r="K67" s="205" t="s">
        <v>129</v>
      </c>
      <c r="L67" s="205" t="s">
        <v>173</v>
      </c>
      <c r="M67" s="205" t="s">
        <v>212</v>
      </c>
      <c r="N67" s="481" t="s">
        <v>297</v>
      </c>
      <c r="O67" s="19"/>
    </row>
    <row r="68" spans="1:15" ht="15" customHeight="1">
      <c r="A68" s="19"/>
      <c r="B68" s="770" t="s">
        <v>515</v>
      </c>
      <c r="C68" s="771"/>
      <c r="D68" s="772"/>
      <c r="E68" s="138">
        <f>AUX!G263</f>
        <v>0</v>
      </c>
      <c r="F68" s="138">
        <f>AUX!H263</f>
        <v>0</v>
      </c>
      <c r="G68" s="138">
        <f>AUX!I263</f>
        <v>0</v>
      </c>
      <c r="H68" s="138">
        <f>AUX!J263</f>
        <v>0</v>
      </c>
      <c r="I68" s="138">
        <f>AUX!K263</f>
        <v>0</v>
      </c>
      <c r="J68" s="139">
        <f>AUX!L263</f>
        <v>0</v>
      </c>
      <c r="K68" s="138">
        <f>AUX!M263</f>
        <v>0</v>
      </c>
      <c r="L68" s="138">
        <f>AUX!N263</f>
        <v>0</v>
      </c>
      <c r="M68" s="139">
        <f>AUX!O263</f>
        <v>0</v>
      </c>
      <c r="N68" s="139">
        <f>AUX!P263</f>
        <v>0</v>
      </c>
      <c r="O68" s="19"/>
    </row>
    <row r="69" spans="1:15" ht="15" customHeight="1">
      <c r="A69" s="19"/>
      <c r="B69" s="779" t="s">
        <v>516</v>
      </c>
      <c r="C69" s="780"/>
      <c r="D69" s="781"/>
      <c r="E69" s="140">
        <f>AUX!G269</f>
        <v>0</v>
      </c>
      <c r="F69" s="140">
        <f>AUX!H269</f>
        <v>0</v>
      </c>
      <c r="G69" s="140">
        <f>AUX!I269</f>
        <v>0</v>
      </c>
      <c r="H69" s="140">
        <f>AUX!J269</f>
        <v>0</v>
      </c>
      <c r="I69" s="140">
        <f>AUX!K269</f>
        <v>0</v>
      </c>
      <c r="J69" s="141">
        <f>AUX!L269</f>
        <v>0</v>
      </c>
      <c r="K69" s="140">
        <f>AUX!M269</f>
        <v>0</v>
      </c>
      <c r="L69" s="140">
        <f>AUX!N269</f>
        <v>0</v>
      </c>
      <c r="M69" s="141">
        <f>AUX!O269</f>
        <v>0</v>
      </c>
      <c r="N69" s="141">
        <f>AUX!P269</f>
        <v>0</v>
      </c>
      <c r="O69" s="19"/>
    </row>
    <row r="70" spans="1:15" ht="15" customHeight="1">
      <c r="A70" s="19"/>
      <c r="B70" s="770" t="s">
        <v>517</v>
      </c>
      <c r="C70" s="771"/>
      <c r="D70" s="772"/>
      <c r="E70" s="138">
        <f>AUX!G275</f>
        <v>0</v>
      </c>
      <c r="F70" s="138">
        <f>AUX!H275</f>
        <v>0</v>
      </c>
      <c r="G70" s="138">
        <f>AUX!I275</f>
        <v>0</v>
      </c>
      <c r="H70" s="138">
        <f>AUX!J275</f>
        <v>0</v>
      </c>
      <c r="I70" s="138">
        <f>AUX!K275</f>
        <v>0</v>
      </c>
      <c r="J70" s="139">
        <f>AUX!L275</f>
        <v>0</v>
      </c>
      <c r="K70" s="138">
        <f>AUX!M275</f>
        <v>0</v>
      </c>
      <c r="L70" s="138">
        <f>AUX!N275</f>
        <v>0</v>
      </c>
      <c r="M70" s="139">
        <f>AUX!O275</f>
        <v>0</v>
      </c>
      <c r="N70" s="139">
        <f>AUX!P275</f>
        <v>0</v>
      </c>
      <c r="O70" s="19"/>
    </row>
    <row r="71" spans="1:15" ht="15" customHeight="1">
      <c r="A71" s="19"/>
      <c r="B71" s="779" t="s">
        <v>518</v>
      </c>
      <c r="C71" s="780"/>
      <c r="D71" s="781"/>
      <c r="E71" s="140">
        <f>AUX!G281</f>
        <v>0</v>
      </c>
      <c r="F71" s="140">
        <f>AUX!H281</f>
        <v>0</v>
      </c>
      <c r="G71" s="140">
        <f>AUX!I281</f>
        <v>0</v>
      </c>
      <c r="H71" s="140">
        <f>AUX!J281</f>
        <v>0</v>
      </c>
      <c r="I71" s="140">
        <f>AUX!K281</f>
        <v>0</v>
      </c>
      <c r="J71" s="141">
        <f>AUX!L281</f>
        <v>0</v>
      </c>
      <c r="K71" s="140">
        <f>AUX!M281</f>
        <v>0</v>
      </c>
      <c r="L71" s="140">
        <f>AUX!N281</f>
        <v>0</v>
      </c>
      <c r="M71" s="141">
        <f>AUX!O281</f>
        <v>0</v>
      </c>
      <c r="N71" s="141">
        <f>AUX!P281</f>
        <v>0</v>
      </c>
      <c r="O71" s="19"/>
    </row>
    <row r="72" spans="1:15" ht="15" customHeight="1">
      <c r="A72" s="19"/>
      <c r="B72" s="770" t="s">
        <v>519</v>
      </c>
      <c r="C72" s="771"/>
      <c r="D72" s="772"/>
      <c r="E72" s="138">
        <f>AUX!G287</f>
        <v>0</v>
      </c>
      <c r="F72" s="138">
        <f>AUX!H287</f>
        <v>0</v>
      </c>
      <c r="G72" s="138">
        <f>AUX!I287</f>
        <v>0</v>
      </c>
      <c r="H72" s="138">
        <f>AUX!J287</f>
        <v>0</v>
      </c>
      <c r="I72" s="138">
        <f>AUX!K287</f>
        <v>0</v>
      </c>
      <c r="J72" s="139">
        <f>AUX!L287</f>
        <v>0</v>
      </c>
      <c r="K72" s="138">
        <f>AUX!M287</f>
        <v>0</v>
      </c>
      <c r="L72" s="138">
        <f>AUX!N287</f>
        <v>0</v>
      </c>
      <c r="M72" s="139">
        <f>AUX!O287</f>
        <v>0</v>
      </c>
      <c r="N72" s="139">
        <f>AUX!P287</f>
        <v>0</v>
      </c>
      <c r="O72" s="19"/>
    </row>
    <row r="73" spans="1:15" ht="15" customHeight="1">
      <c r="A73" s="19"/>
      <c r="B73" s="786" t="s">
        <v>520</v>
      </c>
      <c r="C73" s="787"/>
      <c r="D73" s="788"/>
      <c r="E73" s="142">
        <f>AUX!G293</f>
        <v>0</v>
      </c>
      <c r="F73" s="142">
        <f>AUX!H293</f>
        <v>0</v>
      </c>
      <c r="G73" s="142">
        <f>AUX!I293</f>
        <v>0</v>
      </c>
      <c r="H73" s="142">
        <f>AUX!J293</f>
        <v>0</v>
      </c>
      <c r="I73" s="142">
        <f>AUX!K293</f>
        <v>0</v>
      </c>
      <c r="J73" s="143">
        <f>AUX!L293</f>
        <v>0</v>
      </c>
      <c r="K73" s="142">
        <f>AUX!M293</f>
        <v>0</v>
      </c>
      <c r="L73" s="142">
        <f>AUX!N293</f>
        <v>0</v>
      </c>
      <c r="M73" s="143">
        <f>AUX!O293</f>
        <v>0</v>
      </c>
      <c r="N73" s="143">
        <f>AUX!P293</f>
        <v>0</v>
      </c>
      <c r="O73" s="19"/>
    </row>
    <row r="74" spans="1:15" ht="15" customHeight="1">
      <c r="A74" s="19"/>
      <c r="B74" s="666" t="s">
        <v>514</v>
      </c>
      <c r="C74" s="666"/>
      <c r="D74" s="666"/>
      <c r="E74" s="666"/>
      <c r="F74" s="28"/>
      <c r="G74" s="28"/>
      <c r="H74" s="28"/>
      <c r="I74" s="28"/>
      <c r="J74" s="28"/>
      <c r="K74" s="655" t="s">
        <v>690</v>
      </c>
      <c r="L74" s="655"/>
      <c r="M74" s="655"/>
      <c r="N74" s="655"/>
      <c r="O74" s="19"/>
    </row>
    <row r="75" spans="1:15" ht="15" customHeight="1">
      <c r="A75" s="19"/>
      <c r="B75" s="31"/>
      <c r="C75" s="27"/>
      <c r="D75" s="27"/>
      <c r="E75" s="27"/>
      <c r="F75" s="28"/>
      <c r="G75" s="28"/>
      <c r="H75" s="28"/>
      <c r="I75" s="28"/>
      <c r="J75" s="28"/>
      <c r="K75" s="28"/>
      <c r="L75" s="28"/>
      <c r="M75" s="28"/>
      <c r="N75" s="28"/>
      <c r="O75" s="19"/>
    </row>
    <row r="76" spans="1:15" ht="24" customHeight="1">
      <c r="A76" s="19"/>
      <c r="B76" s="782" t="s">
        <v>354</v>
      </c>
      <c r="C76" s="782"/>
      <c r="D76" s="782"/>
      <c r="E76" s="782"/>
      <c r="F76" s="782"/>
      <c r="H76" s="782" t="s">
        <v>355</v>
      </c>
      <c r="I76" s="782"/>
      <c r="J76" s="782"/>
      <c r="K76" s="782"/>
      <c r="L76" s="782"/>
      <c r="M76" s="782"/>
      <c r="N76" s="782"/>
      <c r="O76" s="19"/>
    </row>
    <row r="77" spans="1:15" ht="5.0999999999999996" customHeight="1">
      <c r="A77" s="19"/>
      <c r="B77" s="19"/>
      <c r="C77" s="19"/>
      <c r="D77" s="19"/>
      <c r="E77" s="19"/>
      <c r="F77" s="19"/>
      <c r="G77" s="19"/>
      <c r="H77" s="19"/>
      <c r="I77" s="19"/>
      <c r="J77" s="19"/>
      <c r="K77" s="19"/>
      <c r="L77" s="19"/>
      <c r="M77" s="19"/>
      <c r="N77" s="19"/>
      <c r="O77" s="19"/>
    </row>
    <row r="78" spans="1:15" ht="15" customHeight="1">
      <c r="A78" s="19"/>
      <c r="B78" s="27"/>
      <c r="C78" s="27"/>
      <c r="D78" s="27"/>
      <c r="E78" s="27"/>
      <c r="F78" s="28"/>
      <c r="G78" s="28"/>
      <c r="H78" s="28"/>
      <c r="I78" s="28"/>
      <c r="J78" s="28"/>
      <c r="K78" s="28"/>
      <c r="L78" s="28"/>
      <c r="M78" s="28"/>
      <c r="N78" s="28"/>
      <c r="O78" s="19"/>
    </row>
    <row r="79" spans="1:15" ht="15" customHeight="1">
      <c r="A79" s="19"/>
      <c r="B79" s="27"/>
      <c r="C79" s="27"/>
      <c r="D79" s="27"/>
      <c r="E79" s="27"/>
      <c r="F79" s="28"/>
      <c r="G79" s="28"/>
      <c r="H79" s="28"/>
      <c r="I79" s="28"/>
      <c r="J79" s="28"/>
      <c r="K79" s="28"/>
      <c r="L79" s="28"/>
      <c r="M79" s="28"/>
      <c r="N79" s="28"/>
      <c r="O79" s="19"/>
    </row>
    <row r="80" spans="1:15" ht="15" customHeight="1">
      <c r="A80" s="19"/>
      <c r="B80" s="27"/>
      <c r="C80" s="27"/>
      <c r="D80" s="27"/>
      <c r="E80" s="27"/>
      <c r="F80" s="28"/>
      <c r="G80" s="28"/>
      <c r="H80" s="28"/>
      <c r="I80" s="28"/>
      <c r="J80" s="28"/>
      <c r="K80" s="28"/>
      <c r="L80" s="28"/>
      <c r="M80" s="28"/>
      <c r="N80" s="28"/>
      <c r="O80" s="19"/>
    </row>
    <row r="81" spans="1:15" ht="15" customHeight="1">
      <c r="A81" s="19"/>
      <c r="B81" s="27"/>
      <c r="C81" s="27"/>
      <c r="D81" s="27"/>
      <c r="E81" s="27"/>
      <c r="F81" s="28"/>
      <c r="G81" s="28"/>
      <c r="H81" s="28"/>
      <c r="I81" s="28"/>
      <c r="J81" s="28"/>
      <c r="K81" s="28"/>
      <c r="L81" s="28"/>
      <c r="M81" s="28"/>
      <c r="N81" s="28"/>
      <c r="O81" s="19"/>
    </row>
    <row r="82" spans="1:15" ht="15" customHeight="1">
      <c r="A82" s="19"/>
      <c r="B82" s="27"/>
      <c r="C82" s="27"/>
      <c r="D82" s="27"/>
      <c r="E82" s="27"/>
      <c r="F82" s="28"/>
      <c r="G82" s="28"/>
      <c r="H82" s="28"/>
      <c r="I82" s="28"/>
      <c r="J82" s="28"/>
      <c r="K82" s="28"/>
      <c r="L82" s="28"/>
      <c r="M82" s="28"/>
      <c r="N82" s="28"/>
      <c r="O82" s="19"/>
    </row>
    <row r="83" spans="1:15" ht="15" customHeight="1">
      <c r="A83" s="19"/>
      <c r="B83" s="19"/>
      <c r="C83" s="19"/>
      <c r="D83" s="19"/>
      <c r="E83" s="19"/>
      <c r="F83" s="19"/>
      <c r="G83" s="19"/>
      <c r="H83" s="19"/>
      <c r="I83" s="19"/>
      <c r="J83" s="19"/>
      <c r="K83" s="19"/>
      <c r="L83" s="19"/>
      <c r="M83" s="19"/>
      <c r="N83" s="19"/>
      <c r="O83" s="19"/>
    </row>
    <row r="84" spans="1:15" ht="15" customHeight="1">
      <c r="A84" s="19"/>
      <c r="B84" s="19"/>
      <c r="C84" s="19"/>
      <c r="D84" s="19"/>
      <c r="E84" s="19"/>
      <c r="F84" s="19"/>
      <c r="G84" s="19"/>
      <c r="H84" s="19"/>
      <c r="I84" s="19"/>
      <c r="J84" s="19"/>
      <c r="K84" s="19"/>
      <c r="L84" s="19"/>
      <c r="M84" s="19"/>
      <c r="N84" s="19"/>
      <c r="O84" s="19"/>
    </row>
    <row r="85" spans="1:15" ht="15" customHeight="1">
      <c r="A85" s="19"/>
      <c r="B85" s="31"/>
      <c r="C85" s="27"/>
      <c r="D85" s="27"/>
      <c r="E85" s="27"/>
      <c r="F85" s="28"/>
      <c r="G85" s="28"/>
      <c r="H85" s="28"/>
      <c r="I85" s="28"/>
      <c r="J85" s="28"/>
      <c r="K85" s="28"/>
      <c r="L85" s="28"/>
      <c r="M85" s="28"/>
      <c r="N85" s="28"/>
      <c r="O85" s="19"/>
    </row>
    <row r="86" spans="1:15" ht="15" customHeight="1">
      <c r="A86" s="19"/>
      <c r="B86" s="27"/>
      <c r="C86" s="27"/>
      <c r="D86" s="27"/>
      <c r="E86" s="27"/>
      <c r="F86" s="28"/>
      <c r="G86" s="28"/>
      <c r="H86" s="28"/>
      <c r="I86" s="28"/>
      <c r="J86" s="28"/>
      <c r="K86" s="28"/>
      <c r="L86" s="28"/>
      <c r="M86" s="28"/>
      <c r="N86" s="28"/>
      <c r="O86" s="19"/>
    </row>
    <row r="87" spans="1:15" ht="15" customHeight="1">
      <c r="A87" s="19"/>
      <c r="B87" s="27"/>
      <c r="C87" s="27"/>
      <c r="D87" s="27"/>
      <c r="E87" s="27"/>
      <c r="F87" s="28"/>
      <c r="G87" s="28"/>
      <c r="H87" s="28"/>
      <c r="I87" s="28"/>
      <c r="J87" s="28"/>
      <c r="K87" s="28"/>
      <c r="L87" s="28"/>
      <c r="M87" s="28"/>
      <c r="N87" s="28"/>
      <c r="O87" s="19"/>
    </row>
    <row r="88" spans="1:15" ht="15" customHeight="1">
      <c r="A88" s="19"/>
      <c r="B88" s="19"/>
      <c r="C88" s="19"/>
      <c r="D88" s="19"/>
      <c r="E88" s="19"/>
      <c r="F88" s="19"/>
      <c r="G88" s="19"/>
      <c r="H88" s="19"/>
      <c r="I88" s="19"/>
      <c r="J88" s="19"/>
      <c r="K88" s="19"/>
      <c r="L88" s="19"/>
      <c r="M88" s="19"/>
      <c r="N88" s="19"/>
      <c r="O88" s="19"/>
    </row>
    <row r="89" spans="1:15" ht="15" customHeight="1">
      <c r="A89" s="19"/>
      <c r="B89" s="19"/>
      <c r="C89" s="19"/>
      <c r="D89" s="19"/>
      <c r="E89" s="19"/>
      <c r="F89" s="19"/>
      <c r="G89" s="19"/>
      <c r="H89" s="19"/>
      <c r="I89" s="19"/>
      <c r="J89" s="19"/>
      <c r="K89" s="19"/>
      <c r="L89" s="19"/>
      <c r="M89" s="19"/>
      <c r="N89" s="19"/>
      <c r="O89" s="19"/>
    </row>
    <row r="90" spans="1:15" ht="24.95" customHeight="1">
      <c r="A90" s="19"/>
      <c r="B90" s="31"/>
      <c r="C90" s="27"/>
      <c r="D90" s="27"/>
      <c r="E90" s="27"/>
      <c r="F90" s="28"/>
      <c r="G90" s="28"/>
      <c r="H90" s="28"/>
      <c r="I90" s="28"/>
      <c r="J90" s="28"/>
      <c r="K90" s="28"/>
      <c r="L90" s="28"/>
      <c r="M90" s="28"/>
      <c r="N90" s="28"/>
      <c r="O90" s="19"/>
    </row>
    <row r="91" spans="1:15" ht="15" customHeight="1">
      <c r="A91" s="19"/>
      <c r="B91" s="27"/>
      <c r="C91" s="655" t="s">
        <v>690</v>
      </c>
      <c r="D91" s="655"/>
      <c r="E91" s="655"/>
      <c r="F91" s="655"/>
      <c r="G91" s="28"/>
      <c r="H91" s="28"/>
      <c r="I91" s="28"/>
      <c r="J91" s="28"/>
      <c r="K91" s="655" t="s">
        <v>690</v>
      </c>
      <c r="L91" s="655"/>
      <c r="M91" s="655"/>
      <c r="N91" s="655"/>
      <c r="O91" s="19"/>
    </row>
    <row r="92" spans="1:15" ht="15" customHeight="1">
      <c r="A92" s="19"/>
      <c r="B92" s="27"/>
      <c r="C92" s="27"/>
      <c r="D92" s="27"/>
      <c r="E92" s="27"/>
      <c r="F92" s="28"/>
      <c r="G92" s="28"/>
      <c r="H92" s="28"/>
      <c r="I92" s="28"/>
      <c r="J92" s="28"/>
      <c r="K92" s="28"/>
      <c r="L92" s="28"/>
      <c r="M92" s="28"/>
      <c r="N92" s="28"/>
      <c r="O92" s="19"/>
    </row>
    <row r="93" spans="1:15" ht="24" customHeight="1">
      <c r="A93" s="122"/>
      <c r="B93" s="782" t="s">
        <v>356</v>
      </c>
      <c r="C93" s="782"/>
      <c r="D93" s="782"/>
      <c r="E93" s="782"/>
      <c r="F93" s="782"/>
      <c r="H93" s="782" t="s">
        <v>357</v>
      </c>
      <c r="I93" s="782"/>
      <c r="J93" s="782"/>
      <c r="K93" s="782"/>
      <c r="L93" s="782"/>
      <c r="M93" s="782"/>
      <c r="N93" s="782"/>
      <c r="O93" s="122"/>
    </row>
    <row r="94" spans="1:15" ht="5.0999999999999996" customHeight="1">
      <c r="A94" s="122"/>
      <c r="B94" s="122"/>
      <c r="C94" s="122"/>
      <c r="D94" s="122"/>
      <c r="E94" s="122"/>
      <c r="F94" s="122"/>
      <c r="G94" s="122"/>
      <c r="H94" s="122"/>
      <c r="I94" s="122"/>
      <c r="J94" s="122"/>
      <c r="K94" s="122"/>
      <c r="L94" s="122"/>
      <c r="M94" s="122"/>
      <c r="N94" s="122"/>
      <c r="O94" s="122"/>
    </row>
    <row r="95" spans="1:15" ht="15" customHeight="1">
      <c r="A95" s="122"/>
      <c r="B95" s="27"/>
      <c r="C95" s="27"/>
      <c r="D95" s="27"/>
      <c r="E95" s="27"/>
      <c r="F95" s="28"/>
      <c r="G95" s="28"/>
      <c r="H95" s="28"/>
      <c r="I95" s="28"/>
      <c r="J95" s="28"/>
      <c r="K95" s="28"/>
      <c r="L95" s="28"/>
      <c r="M95" s="28"/>
      <c r="N95" s="28"/>
      <c r="O95" s="122"/>
    </row>
    <row r="96" spans="1:15" ht="15" customHeight="1">
      <c r="A96" s="122"/>
      <c r="B96" s="27"/>
      <c r="C96" s="27"/>
      <c r="D96" s="27"/>
      <c r="E96" s="27"/>
      <c r="F96" s="28"/>
      <c r="G96" s="28"/>
      <c r="H96" s="28"/>
      <c r="I96" s="28"/>
      <c r="J96" s="28"/>
      <c r="K96" s="28"/>
      <c r="L96" s="28"/>
      <c r="M96" s="28"/>
      <c r="N96" s="28"/>
      <c r="O96" s="122"/>
    </row>
    <row r="97" spans="1:15" ht="15" customHeight="1">
      <c r="A97" s="122"/>
      <c r="B97" s="27"/>
      <c r="C97" s="27"/>
      <c r="D97" s="27"/>
      <c r="E97" s="27"/>
      <c r="F97" s="28"/>
      <c r="G97" s="28"/>
      <c r="H97" s="28"/>
      <c r="I97" s="28"/>
      <c r="J97" s="28"/>
      <c r="K97" s="28"/>
      <c r="L97" s="28"/>
      <c r="M97" s="28"/>
      <c r="N97" s="28"/>
      <c r="O97" s="122"/>
    </row>
    <row r="98" spans="1:15" ht="15" customHeight="1">
      <c r="A98" s="122"/>
      <c r="B98" s="27"/>
      <c r="C98" s="27"/>
      <c r="D98" s="27"/>
      <c r="E98" s="27"/>
      <c r="F98" s="28"/>
      <c r="G98" s="28"/>
      <c r="H98" s="28"/>
      <c r="I98" s="28"/>
      <c r="J98" s="28"/>
      <c r="K98" s="28"/>
      <c r="L98" s="28"/>
      <c r="M98" s="28"/>
      <c r="N98" s="28"/>
      <c r="O98" s="122"/>
    </row>
    <row r="99" spans="1:15" ht="15" customHeight="1">
      <c r="A99" s="122"/>
      <c r="B99" s="27"/>
      <c r="C99" s="27"/>
      <c r="D99" s="27"/>
      <c r="E99" s="27"/>
      <c r="F99" s="28"/>
      <c r="G99" s="28"/>
      <c r="H99" s="28"/>
      <c r="I99" s="28"/>
      <c r="J99" s="28"/>
      <c r="K99" s="28"/>
      <c r="L99" s="28"/>
      <c r="M99" s="28"/>
      <c r="N99" s="28"/>
      <c r="O99" s="122"/>
    </row>
    <row r="100" spans="1:15" ht="15" customHeight="1">
      <c r="A100" s="122"/>
      <c r="B100" s="122"/>
      <c r="C100" s="122"/>
      <c r="D100" s="122"/>
      <c r="E100" s="122"/>
      <c r="F100" s="122"/>
      <c r="G100" s="122"/>
      <c r="H100" s="122"/>
      <c r="I100" s="122"/>
      <c r="J100" s="122"/>
      <c r="K100" s="122"/>
      <c r="L100" s="122"/>
      <c r="M100" s="122"/>
      <c r="N100" s="122"/>
      <c r="O100" s="122"/>
    </row>
    <row r="101" spans="1:15" ht="15" customHeight="1">
      <c r="A101" s="122"/>
      <c r="B101" s="122"/>
      <c r="C101" s="122"/>
      <c r="D101" s="122"/>
      <c r="E101" s="122"/>
      <c r="F101" s="122"/>
      <c r="G101" s="122"/>
      <c r="H101" s="122"/>
      <c r="I101" s="122"/>
      <c r="J101" s="122"/>
      <c r="K101" s="122"/>
      <c r="L101" s="122"/>
      <c r="M101" s="122"/>
      <c r="N101" s="122"/>
      <c r="O101" s="122"/>
    </row>
    <row r="102" spans="1:15" ht="15" customHeight="1">
      <c r="A102" s="122"/>
      <c r="B102" s="31"/>
      <c r="C102" s="27"/>
      <c r="D102" s="27"/>
      <c r="E102" s="27"/>
      <c r="F102" s="28"/>
      <c r="G102" s="28"/>
      <c r="H102" s="28"/>
      <c r="I102" s="28"/>
      <c r="J102" s="28"/>
      <c r="K102" s="28"/>
      <c r="L102" s="28"/>
      <c r="M102" s="28"/>
      <c r="N102" s="28"/>
      <c r="O102" s="122"/>
    </row>
    <row r="103" spans="1:15" ht="15" customHeight="1">
      <c r="A103" s="122"/>
      <c r="B103" s="27"/>
      <c r="C103" s="27"/>
      <c r="D103" s="27"/>
      <c r="E103" s="27"/>
      <c r="F103" s="28"/>
      <c r="G103" s="28"/>
      <c r="H103" s="28"/>
      <c r="I103" s="28"/>
      <c r="J103" s="28"/>
      <c r="K103" s="28"/>
      <c r="L103" s="28"/>
      <c r="M103" s="28"/>
      <c r="N103" s="28"/>
      <c r="O103" s="122"/>
    </row>
    <row r="104" spans="1:15" ht="15" customHeight="1">
      <c r="A104" s="122"/>
      <c r="B104" s="27"/>
      <c r="C104" s="27"/>
      <c r="D104" s="27"/>
      <c r="E104" s="27"/>
      <c r="F104" s="28"/>
      <c r="G104" s="28"/>
      <c r="H104" s="28"/>
      <c r="I104" s="28"/>
      <c r="J104" s="28"/>
      <c r="K104" s="28"/>
      <c r="L104" s="28"/>
      <c r="M104" s="28"/>
      <c r="N104" s="28"/>
      <c r="O104" s="122"/>
    </row>
    <row r="105" spans="1:15" ht="15" customHeight="1">
      <c r="A105" s="122"/>
      <c r="B105" s="122"/>
      <c r="C105" s="122"/>
      <c r="D105" s="122"/>
      <c r="E105" s="122"/>
      <c r="F105" s="122"/>
      <c r="G105" s="122"/>
      <c r="H105" s="122"/>
      <c r="I105" s="122"/>
      <c r="J105" s="122"/>
      <c r="K105" s="122"/>
      <c r="L105" s="122"/>
      <c r="M105" s="122"/>
      <c r="N105" s="122"/>
      <c r="O105" s="122"/>
    </row>
    <row r="106" spans="1:15" ht="15" customHeight="1">
      <c r="A106" s="122"/>
      <c r="B106" s="122"/>
      <c r="C106" s="122"/>
      <c r="D106" s="122"/>
      <c r="E106" s="122"/>
      <c r="F106" s="122"/>
      <c r="G106" s="122"/>
      <c r="H106" s="122"/>
      <c r="I106" s="122"/>
      <c r="J106" s="122"/>
      <c r="K106" s="122"/>
      <c r="L106" s="122"/>
      <c r="M106" s="122"/>
      <c r="N106" s="122"/>
      <c r="O106" s="122"/>
    </row>
    <row r="107" spans="1:15" ht="30" customHeight="1">
      <c r="A107" s="122"/>
      <c r="B107" s="31"/>
      <c r="C107" s="27"/>
      <c r="D107" s="27"/>
      <c r="E107" s="27"/>
      <c r="F107" s="28"/>
      <c r="G107" s="28"/>
      <c r="H107" s="28"/>
      <c r="I107" s="28"/>
      <c r="J107" s="28"/>
      <c r="K107" s="28"/>
      <c r="L107" s="28"/>
      <c r="M107" s="28"/>
      <c r="N107" s="28"/>
      <c r="O107" s="122"/>
    </row>
    <row r="108" spans="1:15" ht="15" customHeight="1">
      <c r="A108" s="122"/>
      <c r="B108" s="27"/>
      <c r="C108" s="655" t="s">
        <v>690</v>
      </c>
      <c r="D108" s="655"/>
      <c r="E108" s="655"/>
      <c r="F108" s="655"/>
      <c r="G108" s="28"/>
      <c r="H108" s="28"/>
      <c r="I108" s="28"/>
      <c r="J108" s="28"/>
      <c r="K108" s="655" t="s">
        <v>690</v>
      </c>
      <c r="L108" s="655"/>
      <c r="M108" s="655"/>
      <c r="N108" s="655"/>
      <c r="O108" s="122"/>
    </row>
    <row r="109" spans="1:15" ht="15" customHeight="1">
      <c r="A109" s="122"/>
      <c r="B109" s="27"/>
      <c r="C109" s="27"/>
      <c r="D109" s="27"/>
      <c r="E109" s="27"/>
      <c r="F109" s="28"/>
      <c r="G109" s="28"/>
      <c r="H109" s="28"/>
      <c r="I109" s="28"/>
      <c r="J109" s="28"/>
      <c r="K109" s="28"/>
      <c r="L109" s="28"/>
      <c r="M109" s="28"/>
      <c r="N109" s="28"/>
      <c r="O109" s="122"/>
    </row>
    <row r="110" spans="1:15" ht="24" customHeight="1">
      <c r="A110" s="122"/>
      <c r="B110" s="782" t="s">
        <v>358</v>
      </c>
      <c r="C110" s="782"/>
      <c r="D110" s="782"/>
      <c r="E110" s="782"/>
      <c r="F110" s="782"/>
      <c r="H110" s="782" t="s">
        <v>359</v>
      </c>
      <c r="I110" s="782"/>
      <c r="J110" s="782"/>
      <c r="K110" s="782"/>
      <c r="L110" s="782"/>
      <c r="M110" s="782"/>
      <c r="N110" s="782"/>
      <c r="O110" s="122"/>
    </row>
    <row r="111" spans="1:15" ht="5.0999999999999996" customHeight="1">
      <c r="A111" s="122"/>
      <c r="B111" s="122"/>
      <c r="C111" s="122"/>
      <c r="D111" s="122"/>
      <c r="E111" s="122"/>
      <c r="F111" s="122"/>
      <c r="G111" s="122"/>
      <c r="H111" s="122"/>
      <c r="I111" s="122"/>
      <c r="J111" s="122"/>
      <c r="K111" s="122"/>
      <c r="L111" s="122"/>
      <c r="M111" s="122"/>
      <c r="N111" s="122"/>
      <c r="O111" s="122"/>
    </row>
    <row r="112" spans="1:15" ht="15" customHeight="1">
      <c r="A112" s="122"/>
      <c r="B112" s="27"/>
      <c r="C112" s="27"/>
      <c r="D112" s="27"/>
      <c r="E112" s="27"/>
      <c r="F112" s="28"/>
      <c r="G112" s="28"/>
      <c r="H112" s="28"/>
      <c r="I112" s="28"/>
      <c r="J112" s="28"/>
      <c r="K112" s="28"/>
      <c r="L112" s="28"/>
      <c r="M112" s="28"/>
      <c r="N112" s="28"/>
      <c r="O112" s="122"/>
    </row>
    <row r="113" spans="1:15" ht="15" customHeight="1">
      <c r="A113" s="122"/>
      <c r="B113" s="27"/>
      <c r="C113" s="27"/>
      <c r="D113" s="27"/>
      <c r="E113" s="27"/>
      <c r="F113" s="28"/>
      <c r="G113" s="28"/>
      <c r="H113" s="28"/>
      <c r="I113" s="28"/>
      <c r="J113" s="28"/>
      <c r="K113" s="28"/>
      <c r="L113" s="28"/>
      <c r="M113" s="28"/>
      <c r="N113" s="28"/>
      <c r="O113" s="122"/>
    </row>
    <row r="114" spans="1:15" ht="15" customHeight="1">
      <c r="A114" s="122"/>
      <c r="B114" s="27"/>
      <c r="C114" s="27"/>
      <c r="D114" s="27"/>
      <c r="E114" s="27"/>
      <c r="F114" s="28"/>
      <c r="G114" s="28"/>
      <c r="H114" s="28"/>
      <c r="I114" s="28"/>
      <c r="J114" s="28"/>
      <c r="K114" s="28"/>
      <c r="L114" s="28"/>
      <c r="M114" s="28"/>
      <c r="N114" s="28"/>
      <c r="O114" s="122"/>
    </row>
    <row r="115" spans="1:15" ht="15" customHeight="1">
      <c r="A115" s="122"/>
      <c r="B115" s="27"/>
      <c r="C115" s="27"/>
      <c r="D115" s="27"/>
      <c r="E115" s="27"/>
      <c r="F115" s="28"/>
      <c r="G115" s="28"/>
      <c r="H115" s="28"/>
      <c r="I115" s="28"/>
      <c r="J115" s="28"/>
      <c r="K115" s="28"/>
      <c r="L115" s="28"/>
      <c r="M115" s="28"/>
      <c r="N115" s="28"/>
      <c r="O115" s="122"/>
    </row>
    <row r="116" spans="1:15" ht="15" customHeight="1">
      <c r="A116" s="122"/>
      <c r="B116" s="27"/>
      <c r="C116" s="27"/>
      <c r="D116" s="27"/>
      <c r="E116" s="27"/>
      <c r="F116" s="28"/>
      <c r="G116" s="28"/>
      <c r="H116" s="28"/>
      <c r="I116" s="28"/>
      <c r="J116" s="28"/>
      <c r="K116" s="28"/>
      <c r="L116" s="28"/>
      <c r="M116" s="28"/>
      <c r="N116" s="28"/>
      <c r="O116" s="122"/>
    </row>
    <row r="117" spans="1:15" ht="15" customHeight="1">
      <c r="A117" s="122"/>
      <c r="B117" s="122"/>
      <c r="C117" s="122"/>
      <c r="D117" s="122"/>
      <c r="E117" s="122"/>
      <c r="F117" s="122"/>
      <c r="G117" s="122"/>
      <c r="H117" s="122"/>
      <c r="I117" s="122"/>
      <c r="J117" s="122"/>
      <c r="K117" s="122"/>
      <c r="L117" s="122"/>
      <c r="M117" s="122"/>
      <c r="N117" s="122"/>
      <c r="O117" s="122"/>
    </row>
    <row r="118" spans="1:15" ht="15" customHeight="1">
      <c r="A118" s="122"/>
      <c r="B118" s="122"/>
      <c r="C118" s="122"/>
      <c r="D118" s="122"/>
      <c r="E118" s="122"/>
      <c r="F118" s="122"/>
      <c r="G118" s="122"/>
      <c r="H118" s="122"/>
      <c r="I118" s="122"/>
      <c r="J118" s="122"/>
      <c r="K118" s="122"/>
      <c r="L118" s="122"/>
      <c r="M118" s="122"/>
      <c r="N118" s="122"/>
      <c r="O118" s="122"/>
    </row>
    <row r="119" spans="1:15" ht="15" customHeight="1">
      <c r="A119" s="122"/>
      <c r="B119" s="31"/>
      <c r="C119" s="27"/>
      <c r="D119" s="27"/>
      <c r="E119" s="27"/>
      <c r="F119" s="28"/>
      <c r="G119" s="28"/>
      <c r="H119" s="28"/>
      <c r="I119" s="28"/>
      <c r="J119" s="28"/>
      <c r="K119" s="28"/>
      <c r="L119" s="28"/>
      <c r="M119" s="28"/>
      <c r="N119" s="28"/>
      <c r="O119" s="122"/>
    </row>
    <row r="120" spans="1:15" ht="15" customHeight="1">
      <c r="A120" s="122"/>
      <c r="B120" s="27"/>
      <c r="C120" s="27"/>
      <c r="D120" s="27"/>
      <c r="E120" s="27"/>
      <c r="F120" s="28"/>
      <c r="G120" s="28"/>
      <c r="H120" s="28"/>
      <c r="I120" s="28"/>
      <c r="J120" s="28"/>
      <c r="K120" s="28"/>
      <c r="L120" s="28"/>
      <c r="M120" s="28"/>
      <c r="N120" s="28"/>
      <c r="O120" s="122"/>
    </row>
    <row r="121" spans="1:15" ht="15" customHeight="1">
      <c r="A121" s="122"/>
      <c r="B121" s="27"/>
      <c r="C121" s="27"/>
      <c r="D121" s="27"/>
      <c r="E121" s="27"/>
      <c r="F121" s="28"/>
      <c r="G121" s="28"/>
      <c r="H121" s="28"/>
      <c r="I121" s="28"/>
      <c r="J121" s="28"/>
      <c r="K121" s="28"/>
      <c r="L121" s="28"/>
      <c r="M121" s="28"/>
      <c r="N121" s="28"/>
      <c r="O121" s="122"/>
    </row>
    <row r="122" spans="1:15" ht="15" customHeight="1">
      <c r="A122" s="122"/>
      <c r="B122" s="122"/>
      <c r="C122" s="122"/>
      <c r="D122" s="122"/>
      <c r="E122" s="122"/>
      <c r="F122" s="122"/>
      <c r="G122" s="122"/>
      <c r="H122" s="122"/>
      <c r="I122" s="122"/>
      <c r="J122" s="122"/>
      <c r="K122" s="122"/>
      <c r="L122" s="122"/>
      <c r="M122" s="122"/>
      <c r="N122" s="122"/>
      <c r="O122" s="122"/>
    </row>
    <row r="123" spans="1:15" ht="15" customHeight="1">
      <c r="A123" s="122"/>
      <c r="B123" s="122"/>
      <c r="C123" s="122"/>
      <c r="D123" s="122"/>
      <c r="E123" s="122"/>
      <c r="F123" s="122"/>
      <c r="G123" s="122"/>
      <c r="H123" s="122"/>
      <c r="I123" s="122"/>
      <c r="J123" s="122"/>
      <c r="K123" s="122"/>
      <c r="L123" s="122"/>
      <c r="M123" s="122"/>
      <c r="N123" s="122"/>
      <c r="O123" s="122"/>
    </row>
    <row r="124" spans="1:15" ht="30" customHeight="1">
      <c r="A124" s="122"/>
      <c r="B124" s="31"/>
      <c r="C124" s="27"/>
      <c r="D124" s="27"/>
      <c r="E124" s="27"/>
      <c r="F124" s="28"/>
      <c r="G124" s="28"/>
      <c r="H124" s="28"/>
      <c r="I124" s="28"/>
      <c r="J124" s="28"/>
      <c r="K124" s="28"/>
      <c r="L124" s="28"/>
      <c r="M124" s="28"/>
      <c r="N124" s="28"/>
      <c r="O124" s="122"/>
    </row>
    <row r="125" spans="1:15" ht="15" customHeight="1">
      <c r="A125" s="122"/>
      <c r="B125" s="27"/>
      <c r="C125" s="655" t="s">
        <v>690</v>
      </c>
      <c r="D125" s="655"/>
      <c r="E125" s="655"/>
      <c r="F125" s="655"/>
      <c r="G125" s="28"/>
      <c r="H125" s="28"/>
      <c r="I125" s="28"/>
      <c r="J125" s="28"/>
      <c r="K125" s="655" t="s">
        <v>690</v>
      </c>
      <c r="L125" s="655"/>
      <c r="M125" s="655"/>
      <c r="N125" s="655"/>
      <c r="O125" s="122"/>
    </row>
    <row r="126" spans="1:15" ht="15" customHeight="1">
      <c r="A126" s="122"/>
      <c r="B126" s="27"/>
      <c r="C126" s="27"/>
      <c r="D126" s="27"/>
      <c r="E126" s="27"/>
      <c r="F126" s="28"/>
      <c r="G126" s="28"/>
      <c r="H126" s="28"/>
      <c r="I126" s="28"/>
      <c r="J126" s="28"/>
      <c r="K126" s="28"/>
      <c r="L126" s="28"/>
      <c r="M126" s="28"/>
      <c r="N126" s="28"/>
      <c r="O126" s="122"/>
    </row>
    <row r="127" spans="1:15" ht="15" customHeight="1">
      <c r="A127" s="19"/>
      <c r="B127" s="114" t="s">
        <v>28</v>
      </c>
      <c r="C127" s="27"/>
      <c r="D127" s="27"/>
      <c r="E127" s="27"/>
      <c r="F127" s="28"/>
      <c r="G127" s="28"/>
      <c r="H127" s="28"/>
      <c r="I127" s="28"/>
      <c r="J127" s="28"/>
      <c r="K127" s="28"/>
      <c r="L127" s="28"/>
      <c r="M127" s="28"/>
      <c r="N127" s="28"/>
      <c r="O127" s="19"/>
    </row>
    <row r="128" spans="1:15" ht="20.100000000000001" customHeight="1">
      <c r="A128" s="19"/>
      <c r="B128" s="19"/>
      <c r="C128" s="19"/>
      <c r="D128" s="19"/>
      <c r="E128" s="19"/>
      <c r="F128" s="19"/>
      <c r="G128" s="19"/>
      <c r="H128" s="19"/>
      <c r="I128" s="19"/>
      <c r="J128" s="19"/>
      <c r="K128" s="19"/>
      <c r="L128" s="19"/>
      <c r="M128" s="19"/>
      <c r="N128" s="19"/>
      <c r="O128" s="19"/>
    </row>
    <row r="129" spans="1:15" ht="15" customHeight="1">
      <c r="A129" s="19"/>
      <c r="B129" s="19"/>
      <c r="C129" s="19"/>
      <c r="D129" s="19"/>
      <c r="E129" s="19"/>
      <c r="F129" s="19"/>
      <c r="G129" s="19"/>
      <c r="H129" s="19"/>
      <c r="I129" s="19"/>
      <c r="J129" s="19"/>
      <c r="K129" s="19"/>
      <c r="L129" s="19"/>
      <c r="M129" s="19"/>
      <c r="N129" s="19"/>
      <c r="O129" s="19"/>
    </row>
    <row r="130" spans="1:15" ht="15" customHeight="1">
      <c r="A130" s="19"/>
      <c r="B130" s="19"/>
      <c r="C130" s="19"/>
      <c r="D130" s="19"/>
      <c r="E130" s="19"/>
      <c r="F130" s="19"/>
      <c r="G130" s="19"/>
      <c r="H130" s="19"/>
      <c r="I130" s="19"/>
      <c r="J130" s="19"/>
      <c r="K130" s="19"/>
      <c r="L130" s="19"/>
      <c r="M130" s="19"/>
      <c r="N130" s="19"/>
      <c r="O130" s="19"/>
    </row>
    <row r="131" spans="1:15" ht="15" customHeight="1">
      <c r="A131" s="19"/>
      <c r="B131" s="19"/>
      <c r="C131" s="19"/>
      <c r="D131" s="19"/>
      <c r="E131" s="19"/>
      <c r="F131" s="19"/>
      <c r="G131" s="19"/>
      <c r="H131" s="19"/>
      <c r="I131" s="19"/>
      <c r="J131" s="19"/>
      <c r="K131" s="19"/>
      <c r="L131" s="19"/>
      <c r="M131" s="19"/>
      <c r="N131" s="19"/>
      <c r="O131" s="19"/>
    </row>
    <row r="132" spans="1:15" ht="15" customHeight="1" thickBot="1">
      <c r="A132" s="19"/>
      <c r="B132" s="19"/>
      <c r="C132" s="19"/>
      <c r="D132" s="19"/>
      <c r="E132" s="19"/>
      <c r="F132" s="19"/>
      <c r="G132" s="19"/>
      <c r="H132" s="19"/>
      <c r="I132" s="19"/>
      <c r="J132" s="19"/>
      <c r="K132" s="19"/>
      <c r="L132" s="19"/>
      <c r="M132" s="19"/>
      <c r="N132" s="19"/>
      <c r="O132" s="19"/>
    </row>
    <row r="133" spans="1:15" ht="9.9499999999999993" customHeight="1">
      <c r="A133" s="19"/>
      <c r="B133" s="783"/>
      <c r="C133" s="783"/>
      <c r="D133" s="783"/>
      <c r="E133" s="783"/>
      <c r="F133" s="783"/>
      <c r="G133" s="783"/>
      <c r="H133" s="783"/>
      <c r="I133" s="783"/>
      <c r="J133" s="783"/>
      <c r="K133" s="783"/>
      <c r="L133" s="783"/>
      <c r="M133" s="783"/>
      <c r="N133" s="783"/>
      <c r="O133" s="19"/>
    </row>
  </sheetData>
  <mergeCells count="54">
    <mergeCell ref="H27:N27"/>
    <mergeCell ref="B17:N17"/>
    <mergeCell ref="H21:J21"/>
    <mergeCell ref="H22:J22"/>
    <mergeCell ref="H23:J23"/>
    <mergeCell ref="H24:J24"/>
    <mergeCell ref="B19:F19"/>
    <mergeCell ref="H19:N19"/>
    <mergeCell ref="K25:N25"/>
    <mergeCell ref="B133:N133"/>
    <mergeCell ref="B65:N65"/>
    <mergeCell ref="B45:N45"/>
    <mergeCell ref="B110:F110"/>
    <mergeCell ref="B47:F47"/>
    <mergeCell ref="H47:N47"/>
    <mergeCell ref="B54:G54"/>
    <mergeCell ref="B63:N63"/>
    <mergeCell ref="B93:F93"/>
    <mergeCell ref="H93:N93"/>
    <mergeCell ref="B76:F76"/>
    <mergeCell ref="H76:N76"/>
    <mergeCell ref="H110:N110"/>
    <mergeCell ref="B68:D68"/>
    <mergeCell ref="B69:D69"/>
    <mergeCell ref="B73:D73"/>
    <mergeCell ref="B14:G14"/>
    <mergeCell ref="B15:G15"/>
    <mergeCell ref="B71:D71"/>
    <mergeCell ref="B27:F27"/>
    <mergeCell ref="C25:F25"/>
    <mergeCell ref="C43:F43"/>
    <mergeCell ref="B2:C2"/>
    <mergeCell ref="G2:N2"/>
    <mergeCell ref="B6:N6"/>
    <mergeCell ref="B8:G8"/>
    <mergeCell ref="B9:G9"/>
    <mergeCell ref="B10:G10"/>
    <mergeCell ref="B11:G11"/>
    <mergeCell ref="B12:G12"/>
    <mergeCell ref="B13:G13"/>
    <mergeCell ref="B7:G7"/>
    <mergeCell ref="K43:N43"/>
    <mergeCell ref="C60:F60"/>
    <mergeCell ref="K61:N61"/>
    <mergeCell ref="K74:N74"/>
    <mergeCell ref="B74:E74"/>
    <mergeCell ref="B72:D72"/>
    <mergeCell ref="B70:D70"/>
    <mergeCell ref="C91:F91"/>
    <mergeCell ref="K91:N91"/>
    <mergeCell ref="C108:F108"/>
    <mergeCell ref="K108:N108"/>
    <mergeCell ref="C125:F125"/>
    <mergeCell ref="K125:N125"/>
  </mergeCells>
  <hyperlinks>
    <hyperlink ref="B4" location="INDICE!A1" display="Índice"/>
    <hyperlink ref="B61" location="'D01'!A1" display="Topo"/>
    <hyperlink ref="B127" location="'D01'!A1" display="Topo"/>
    <hyperlink ref="B9" location="'D01'!A16" display="Óbitos e Taxa Bruta de Mortalidade"/>
    <hyperlink ref="B43" location="'D01'!A1" display="Topo"/>
    <hyperlink ref="B7:G7" location="'D01'!A17" display="Nascimentos Pré-Termo e Baixo Peso à Nascença"/>
    <hyperlink ref="B9:G9" location="'D01'!A45" display="Óbitos e Taxa Bruta de Mortalidade"/>
    <hyperlink ref="B10:G10" location="'D01'!A63" display="Mortalidade Infantil e Componentes"/>
    <hyperlink ref="B11:G11" location="'D02'!A17" display="Mortalidade Proporcional"/>
    <hyperlink ref="B12:G12" location="'D03'!A17" display="Taxa de Mortalidade Padronizada pela idade (TMP)"/>
    <hyperlink ref="B13:G13" location="'D04'!A17" display="Morbilidade nos Cuidados de Saúde Primários"/>
    <hyperlink ref="B14:G14" location="'D05'!A17" display="VIH /sida"/>
    <hyperlink ref="B15:G15" location="'D05'!A79" display="Tuberculose"/>
  </hyperlinks>
  <pageMargins left="0.39370078740157483" right="0.19685039370078741" top="0.78740157480314965" bottom="0.39370078740157483" header="0.31496062992125984" footer="0.31496062992125984"/>
  <pageSetup paperSize="9" scale="69" orientation="portrait" r:id="rId1"/>
  <rowBreaks count="1" manualBreakCount="1">
    <brk id="62" max="16383" man="1"/>
  </rowBreaks>
  <drawing r:id="rId2"/>
</worksheet>
</file>

<file path=xl/worksheets/sheet9.xml><?xml version="1.0" encoding="utf-8"?>
<worksheet xmlns="http://schemas.openxmlformats.org/spreadsheetml/2006/main" xmlns:r="http://schemas.openxmlformats.org/officeDocument/2006/relationships">
  <sheetPr codeName="Folha11"/>
  <dimension ref="A1:O106"/>
  <sheetViews>
    <sheetView zoomScaleNormal="100" workbookViewId="0"/>
  </sheetViews>
  <sheetFormatPr defaultRowHeight="14.25"/>
  <cols>
    <col min="1" max="1" width="2.7109375" style="6" customWidth="1"/>
    <col min="2" max="2" width="26.28515625" style="6" customWidth="1"/>
    <col min="3" max="7" width="9.140625" style="6" customWidth="1"/>
    <col min="8" max="10" width="8.85546875" style="6" customWidth="1"/>
    <col min="11" max="14" width="9.140625" style="6" customWidth="1"/>
    <col min="15" max="15" width="2.7109375" style="6" customWidth="1"/>
    <col min="16" max="16384" width="9.140625" style="6"/>
  </cols>
  <sheetData>
    <row r="1" spans="1:15" ht="9.9499999999999993" customHeight="1">
      <c r="A1" s="462"/>
      <c r="B1" s="462"/>
      <c r="C1" s="462"/>
      <c r="D1" s="462"/>
      <c r="E1" s="462"/>
      <c r="F1" s="462"/>
      <c r="G1" s="462"/>
      <c r="H1" s="462"/>
      <c r="I1" s="462"/>
      <c r="J1" s="462"/>
      <c r="K1" s="462"/>
      <c r="L1" s="462"/>
      <c r="M1" s="462"/>
      <c r="N1" s="462"/>
      <c r="O1" s="462"/>
    </row>
    <row r="2" spans="1:15" ht="20.100000000000001" customHeight="1" thickBot="1">
      <c r="A2" s="462"/>
      <c r="B2" s="775" t="str">
        <f>AUX!A1</f>
        <v>Perfil Local de Saúde 2014</v>
      </c>
      <c r="C2" s="775"/>
      <c r="D2" s="131"/>
      <c r="E2" s="131"/>
      <c r="F2" s="131"/>
      <c r="G2" s="776">
        <f>AUX!A3</f>
        <v>0</v>
      </c>
      <c r="H2" s="776"/>
      <c r="I2" s="776"/>
      <c r="J2" s="776"/>
      <c r="K2" s="776"/>
      <c r="L2" s="776"/>
      <c r="M2" s="776"/>
      <c r="N2" s="776"/>
      <c r="O2" s="462"/>
    </row>
    <row r="3" spans="1:15" ht="9.9499999999999993" customHeight="1" thickTop="1">
      <c r="A3" s="462"/>
      <c r="B3" s="462"/>
      <c r="C3" s="462"/>
      <c r="D3" s="462"/>
      <c r="E3" s="462"/>
      <c r="F3" s="462"/>
      <c r="G3" s="462"/>
      <c r="H3" s="462"/>
      <c r="I3" s="462"/>
      <c r="J3" s="462"/>
      <c r="K3" s="462"/>
      <c r="L3" s="462"/>
      <c r="M3" s="462"/>
      <c r="N3" s="462"/>
      <c r="O3" s="462"/>
    </row>
    <row r="4" spans="1:15">
      <c r="A4" s="462"/>
      <c r="B4" s="135" t="s">
        <v>0</v>
      </c>
      <c r="C4" s="462"/>
      <c r="D4" s="462"/>
      <c r="E4" s="462"/>
      <c r="F4" s="462"/>
      <c r="G4" s="462"/>
      <c r="H4" s="462"/>
      <c r="I4" s="462"/>
      <c r="J4" s="462"/>
      <c r="K4" s="462"/>
      <c r="L4" s="462"/>
      <c r="M4" s="462"/>
      <c r="N4" s="462"/>
      <c r="O4" s="462"/>
    </row>
    <row r="5" spans="1:15" ht="15" customHeight="1">
      <c r="A5" s="462"/>
      <c r="B5" s="21"/>
      <c r="C5" s="462"/>
      <c r="D5" s="462"/>
      <c r="E5" s="462"/>
      <c r="F5" s="462"/>
      <c r="G5" s="462"/>
      <c r="H5" s="462"/>
      <c r="I5" s="462"/>
      <c r="J5" s="462"/>
      <c r="K5" s="462"/>
      <c r="L5" s="462"/>
      <c r="M5" s="462"/>
      <c r="N5" s="462"/>
      <c r="O5" s="462"/>
    </row>
    <row r="6" spans="1:15" s="133" customFormat="1" ht="24.95" customHeight="1">
      <c r="A6" s="132"/>
      <c r="B6" s="777" t="s">
        <v>7</v>
      </c>
      <c r="C6" s="777"/>
      <c r="D6" s="777"/>
      <c r="E6" s="777"/>
      <c r="F6" s="777"/>
      <c r="G6" s="777"/>
      <c r="H6" s="777"/>
      <c r="I6" s="777"/>
      <c r="J6" s="777"/>
      <c r="K6" s="777"/>
      <c r="L6" s="777"/>
      <c r="M6" s="777"/>
      <c r="N6" s="777"/>
      <c r="O6" s="132"/>
    </row>
    <row r="7" spans="1:15" ht="18" customHeight="1">
      <c r="A7" s="462"/>
      <c r="B7" s="774" t="s">
        <v>178</v>
      </c>
      <c r="C7" s="774"/>
      <c r="D7" s="774"/>
      <c r="E7" s="774"/>
      <c r="F7" s="774"/>
      <c r="G7" s="774"/>
      <c r="H7" s="462"/>
      <c r="I7" s="462"/>
      <c r="J7" s="462"/>
      <c r="K7" s="462"/>
      <c r="L7" s="462"/>
      <c r="M7" s="462"/>
      <c r="N7" s="462"/>
      <c r="O7" s="462"/>
    </row>
    <row r="8" spans="1:15" ht="15" customHeight="1">
      <c r="A8" s="462"/>
      <c r="B8" s="778" t="s">
        <v>38</v>
      </c>
      <c r="C8" s="778"/>
      <c r="D8" s="778"/>
      <c r="E8" s="778"/>
      <c r="F8" s="778"/>
      <c r="G8" s="778"/>
      <c r="H8" s="462"/>
      <c r="I8" s="462"/>
      <c r="J8" s="462"/>
      <c r="K8" s="462"/>
      <c r="L8" s="462"/>
      <c r="M8" s="462"/>
      <c r="N8" s="462"/>
      <c r="O8" s="462"/>
    </row>
    <row r="9" spans="1:15" ht="15" customHeight="1">
      <c r="A9" s="462"/>
      <c r="B9" s="773" t="s">
        <v>41</v>
      </c>
      <c r="C9" s="773"/>
      <c r="D9" s="773"/>
      <c r="E9" s="773"/>
      <c r="F9" s="773"/>
      <c r="G9" s="773"/>
      <c r="H9" s="462"/>
      <c r="I9" s="462"/>
      <c r="J9" s="462"/>
      <c r="K9" s="462"/>
      <c r="L9" s="462"/>
      <c r="M9" s="462"/>
      <c r="N9" s="462"/>
      <c r="O9" s="462"/>
    </row>
    <row r="10" spans="1:15" ht="15" customHeight="1">
      <c r="A10" s="462"/>
      <c r="B10" s="773" t="s">
        <v>127</v>
      </c>
      <c r="C10" s="773"/>
      <c r="D10" s="773"/>
      <c r="E10" s="773"/>
      <c r="F10" s="773"/>
      <c r="G10" s="773"/>
      <c r="H10" s="462"/>
      <c r="I10" s="462"/>
      <c r="J10" s="462"/>
      <c r="K10" s="462"/>
      <c r="L10" s="462"/>
      <c r="M10" s="462"/>
      <c r="N10" s="462"/>
      <c r="O10" s="462"/>
    </row>
    <row r="11" spans="1:15" ht="15" customHeight="1">
      <c r="A11" s="462"/>
      <c r="B11" s="773" t="s">
        <v>40</v>
      </c>
      <c r="C11" s="773"/>
      <c r="D11" s="773"/>
      <c r="E11" s="773"/>
      <c r="F11" s="773"/>
      <c r="G11" s="773"/>
      <c r="H11" s="134"/>
      <c r="I11" s="462"/>
      <c r="J11" s="462"/>
      <c r="K11" s="462"/>
      <c r="L11" s="462"/>
      <c r="M11" s="462"/>
      <c r="N11" s="462"/>
      <c r="O11" s="462"/>
    </row>
    <row r="12" spans="1:15" ht="15" customHeight="1">
      <c r="A12" s="462"/>
      <c r="B12" s="773" t="s">
        <v>364</v>
      </c>
      <c r="C12" s="773"/>
      <c r="D12" s="773"/>
      <c r="E12" s="773"/>
      <c r="F12" s="773"/>
      <c r="G12" s="773"/>
      <c r="H12" s="462"/>
      <c r="I12" s="462"/>
      <c r="J12" s="462"/>
      <c r="K12" s="462"/>
      <c r="L12" s="462"/>
      <c r="M12" s="462"/>
      <c r="N12" s="462"/>
      <c r="O12" s="462"/>
    </row>
    <row r="13" spans="1:15" ht="15" customHeight="1">
      <c r="A13" s="462"/>
      <c r="B13" s="774" t="s">
        <v>462</v>
      </c>
      <c r="C13" s="774"/>
      <c r="D13" s="774"/>
      <c r="E13" s="774"/>
      <c r="F13" s="774"/>
      <c r="G13" s="774"/>
      <c r="H13" s="462"/>
      <c r="I13" s="462"/>
      <c r="J13" s="462"/>
      <c r="K13" s="462"/>
      <c r="L13" s="462"/>
      <c r="M13" s="462"/>
      <c r="N13" s="462"/>
      <c r="O13" s="462"/>
    </row>
    <row r="14" spans="1:15" ht="15" customHeight="1">
      <c r="A14" s="462"/>
      <c r="B14" s="774" t="s">
        <v>125</v>
      </c>
      <c r="C14" s="774"/>
      <c r="D14" s="774"/>
      <c r="E14" s="774"/>
      <c r="F14" s="774"/>
      <c r="G14" s="774"/>
      <c r="H14" s="462"/>
      <c r="I14" s="462"/>
      <c r="J14" s="462"/>
      <c r="K14" s="462"/>
      <c r="L14" s="462"/>
      <c r="M14" s="462"/>
      <c r="N14" s="462"/>
      <c r="O14" s="462"/>
    </row>
    <row r="15" spans="1:15" ht="15" customHeight="1">
      <c r="A15" s="462"/>
      <c r="B15" s="774" t="s">
        <v>29</v>
      </c>
      <c r="C15" s="774"/>
      <c r="D15" s="774"/>
      <c r="E15" s="774"/>
      <c r="F15" s="774"/>
      <c r="G15" s="774"/>
      <c r="H15" s="462"/>
      <c r="I15" s="462"/>
      <c r="J15" s="462"/>
      <c r="K15" s="462"/>
      <c r="L15" s="462"/>
      <c r="M15" s="462"/>
      <c r="N15" s="462"/>
      <c r="O15" s="462"/>
    </row>
    <row r="16" spans="1:15" ht="20.100000000000001" customHeight="1">
      <c r="A16" s="462"/>
      <c r="B16" s="462"/>
      <c r="C16" s="462"/>
      <c r="D16" s="462"/>
      <c r="E16" s="462"/>
      <c r="F16" s="462"/>
      <c r="G16" s="462"/>
      <c r="H16" s="462"/>
      <c r="I16" s="462"/>
      <c r="J16" s="462"/>
      <c r="K16" s="462"/>
      <c r="L16" s="462"/>
      <c r="M16" s="462"/>
      <c r="N16" s="462"/>
      <c r="O16" s="462"/>
    </row>
    <row r="17" spans="1:15" ht="20.100000000000001" customHeight="1" thickBot="1">
      <c r="A17" s="462"/>
      <c r="B17" s="785" t="s">
        <v>40</v>
      </c>
      <c r="C17" s="785"/>
      <c r="D17" s="785"/>
      <c r="E17" s="785"/>
      <c r="F17" s="785"/>
      <c r="G17" s="785"/>
      <c r="H17" s="785"/>
      <c r="I17" s="785"/>
      <c r="J17" s="785"/>
      <c r="K17" s="785"/>
      <c r="L17" s="785"/>
      <c r="M17" s="785"/>
      <c r="N17" s="785"/>
      <c r="O17" s="462"/>
    </row>
    <row r="18" spans="1:15" ht="9.9499999999999993" customHeight="1">
      <c r="A18" s="462"/>
      <c r="B18" s="462"/>
      <c r="C18" s="462"/>
      <c r="D18" s="462"/>
      <c r="E18" s="462"/>
      <c r="F18" s="462"/>
      <c r="G18" s="462"/>
      <c r="H18" s="462"/>
      <c r="I18" s="462"/>
      <c r="J18" s="462"/>
      <c r="K18" s="462"/>
      <c r="L18" s="462"/>
      <c r="M18" s="462"/>
      <c r="N18" s="462"/>
      <c r="O18" s="462"/>
    </row>
    <row r="19" spans="1:15" ht="65.099999999999994" customHeight="1">
      <c r="A19" s="553"/>
      <c r="B19" s="553"/>
      <c r="C19" s="797" t="s">
        <v>686</v>
      </c>
      <c r="D19" s="797"/>
      <c r="E19" s="797"/>
      <c r="F19" s="797"/>
      <c r="G19" s="797"/>
      <c r="H19" s="797"/>
      <c r="I19" s="797"/>
      <c r="J19" s="797"/>
      <c r="K19" s="797"/>
      <c r="L19" s="553"/>
      <c r="M19" s="553"/>
      <c r="N19" s="553"/>
      <c r="O19" s="553"/>
    </row>
    <row r="20" spans="1:15" ht="9.9499999999999993" customHeight="1">
      <c r="A20" s="553"/>
      <c r="B20" s="553"/>
      <c r="C20" s="553"/>
      <c r="D20" s="553"/>
      <c r="E20" s="553"/>
      <c r="F20" s="553"/>
      <c r="G20" s="553"/>
      <c r="H20" s="553"/>
      <c r="I20" s="553"/>
      <c r="J20" s="553"/>
      <c r="K20" s="553"/>
      <c r="L20" s="553"/>
      <c r="M20" s="553"/>
      <c r="N20" s="553"/>
      <c r="O20" s="553"/>
    </row>
    <row r="21" spans="1:15" ht="15.95" customHeight="1">
      <c r="A21" s="462"/>
      <c r="B21" s="784" t="s">
        <v>390</v>
      </c>
      <c r="C21" s="784"/>
      <c r="D21" s="784"/>
      <c r="E21" s="784"/>
      <c r="F21" s="784"/>
      <c r="G21" s="784"/>
      <c r="H21" s="784"/>
      <c r="I21" s="784"/>
      <c r="J21" s="784"/>
      <c r="K21" s="784"/>
      <c r="L21" s="784"/>
      <c r="M21" s="784"/>
      <c r="N21" s="784"/>
      <c r="O21" s="462"/>
    </row>
    <row r="22" spans="1:15" ht="15" customHeight="1">
      <c r="A22" s="462"/>
      <c r="B22" s="462"/>
      <c r="C22" s="462"/>
      <c r="D22" s="462"/>
      <c r="E22" s="462"/>
      <c r="F22" s="462"/>
      <c r="G22" s="462"/>
      <c r="H22" s="462"/>
      <c r="I22" s="462"/>
      <c r="J22" s="462"/>
      <c r="K22" s="462"/>
      <c r="L22" s="462"/>
      <c r="M22" s="462"/>
      <c r="N22" s="462"/>
      <c r="O22" s="462"/>
    </row>
    <row r="23" spans="1:15" ht="15" customHeight="1">
      <c r="A23" s="462"/>
      <c r="B23" s="462"/>
      <c r="C23" s="462"/>
      <c r="D23" s="462"/>
      <c r="E23" s="462"/>
      <c r="F23" s="462"/>
      <c r="G23" s="462"/>
      <c r="H23" s="462"/>
      <c r="I23" s="462"/>
      <c r="J23" s="462"/>
      <c r="K23" s="462"/>
      <c r="L23" s="462"/>
      <c r="M23" s="462"/>
      <c r="N23" s="462"/>
      <c r="O23" s="462"/>
    </row>
    <row r="24" spans="1:15" ht="15" customHeight="1">
      <c r="A24" s="462"/>
      <c r="B24" s="462"/>
      <c r="C24" s="462"/>
      <c r="D24" s="462"/>
      <c r="E24" s="462"/>
      <c r="F24" s="462"/>
      <c r="G24" s="462"/>
      <c r="H24" s="462"/>
      <c r="I24" s="462"/>
      <c r="J24" s="462"/>
      <c r="K24" s="462"/>
      <c r="L24" s="462"/>
      <c r="M24" s="462"/>
      <c r="N24" s="462"/>
      <c r="O24" s="462"/>
    </row>
    <row r="25" spans="1:15" ht="15" customHeight="1">
      <c r="A25" s="462"/>
      <c r="B25" s="462"/>
      <c r="C25" s="462"/>
      <c r="D25" s="462"/>
      <c r="E25" s="462"/>
      <c r="F25" s="462"/>
      <c r="G25" s="462"/>
      <c r="H25" s="462"/>
      <c r="I25" s="462"/>
      <c r="J25" s="462"/>
      <c r="K25" s="462"/>
      <c r="L25" s="462"/>
      <c r="M25" s="462"/>
      <c r="N25" s="462"/>
      <c r="O25" s="462"/>
    </row>
    <row r="26" spans="1:15" ht="15" customHeight="1">
      <c r="A26" s="462"/>
      <c r="B26" s="462"/>
      <c r="C26" s="462"/>
      <c r="D26" s="462"/>
      <c r="E26" s="462"/>
      <c r="F26" s="462"/>
      <c r="G26" s="462"/>
      <c r="H26" s="462"/>
      <c r="I26" s="462"/>
      <c r="J26" s="462"/>
      <c r="K26" s="462"/>
      <c r="L26" s="462"/>
      <c r="M26" s="462"/>
      <c r="N26" s="462"/>
      <c r="O26" s="462"/>
    </row>
    <row r="27" spans="1:15" ht="15" customHeight="1">
      <c r="A27" s="462"/>
      <c r="B27" s="462"/>
      <c r="C27" s="462"/>
      <c r="D27" s="462"/>
      <c r="E27" s="462"/>
      <c r="F27" s="462"/>
      <c r="G27" s="462"/>
      <c r="H27" s="462"/>
      <c r="I27" s="462"/>
      <c r="J27" s="462"/>
      <c r="K27" s="462"/>
      <c r="L27" s="462"/>
      <c r="M27" s="462"/>
      <c r="N27" s="462"/>
      <c r="O27" s="462"/>
    </row>
    <row r="28" spans="1:15" ht="15" customHeight="1">
      <c r="A28" s="462"/>
      <c r="B28" s="462"/>
      <c r="C28" s="462"/>
      <c r="D28" s="462"/>
      <c r="E28" s="462"/>
      <c r="F28" s="462"/>
      <c r="G28" s="462"/>
      <c r="H28" s="462"/>
      <c r="I28" s="462"/>
      <c r="J28" s="462"/>
      <c r="K28" s="462"/>
      <c r="L28" s="462"/>
      <c r="M28" s="462"/>
      <c r="N28" s="462"/>
      <c r="O28" s="462"/>
    </row>
    <row r="29" spans="1:15" ht="15" customHeight="1">
      <c r="A29" s="462"/>
      <c r="B29" s="462"/>
      <c r="C29" s="462"/>
      <c r="D29" s="462"/>
      <c r="E29" s="462"/>
      <c r="F29" s="462"/>
      <c r="G29" s="462"/>
      <c r="H29" s="462"/>
      <c r="I29" s="462"/>
      <c r="J29" s="462"/>
      <c r="K29" s="462"/>
      <c r="L29" s="462"/>
      <c r="M29" s="462"/>
      <c r="N29" s="462"/>
      <c r="O29" s="462"/>
    </row>
    <row r="30" spans="1:15" ht="15" customHeight="1">
      <c r="A30" s="462"/>
      <c r="B30" s="462"/>
      <c r="C30" s="462"/>
      <c r="D30" s="462"/>
      <c r="E30" s="462"/>
      <c r="F30" s="462"/>
      <c r="G30" s="462"/>
      <c r="H30" s="462"/>
      <c r="I30" s="462"/>
      <c r="J30" s="462"/>
      <c r="K30" s="462"/>
      <c r="L30" s="462"/>
      <c r="M30" s="462"/>
      <c r="N30" s="462"/>
      <c r="O30" s="462"/>
    </row>
    <row r="31" spans="1:15" ht="15" customHeight="1">
      <c r="A31" s="462"/>
      <c r="B31" s="462"/>
      <c r="C31" s="462"/>
      <c r="D31" s="462"/>
      <c r="E31" s="462"/>
      <c r="F31" s="462"/>
      <c r="G31" s="462"/>
      <c r="H31" s="462"/>
      <c r="I31" s="462"/>
      <c r="J31" s="462"/>
      <c r="K31" s="462"/>
      <c r="L31" s="462"/>
      <c r="M31" s="462"/>
      <c r="N31" s="462"/>
      <c r="O31" s="462"/>
    </row>
    <row r="32" spans="1:15" ht="15" customHeight="1">
      <c r="A32" s="462"/>
      <c r="B32" s="462"/>
      <c r="C32" s="462"/>
      <c r="D32" s="462"/>
      <c r="E32" s="462"/>
      <c r="F32" s="462"/>
      <c r="G32" s="462"/>
      <c r="H32" s="462"/>
      <c r="I32" s="462"/>
      <c r="J32" s="462"/>
      <c r="K32" s="462"/>
      <c r="L32" s="462"/>
      <c r="M32" s="462"/>
      <c r="N32" s="462"/>
      <c r="O32" s="462"/>
    </row>
    <row r="33" spans="1:15" ht="15" customHeight="1">
      <c r="A33" s="462"/>
      <c r="B33" s="462"/>
      <c r="C33" s="462"/>
      <c r="D33" s="462"/>
      <c r="E33" s="462"/>
      <c r="F33" s="462"/>
      <c r="G33" s="462"/>
      <c r="H33" s="462"/>
      <c r="I33" s="462"/>
      <c r="J33" s="462"/>
      <c r="K33" s="462"/>
      <c r="L33" s="462"/>
      <c r="M33" s="462"/>
      <c r="N33" s="462"/>
      <c r="O33" s="462"/>
    </row>
    <row r="34" spans="1:15" ht="15" customHeight="1">
      <c r="A34" s="462"/>
      <c r="B34" s="462"/>
      <c r="C34" s="462"/>
      <c r="D34" s="462"/>
      <c r="E34" s="462"/>
      <c r="F34" s="462"/>
      <c r="G34" s="462"/>
      <c r="H34" s="462"/>
      <c r="I34" s="462"/>
      <c r="J34" s="462"/>
      <c r="K34" s="462"/>
      <c r="L34" s="462"/>
      <c r="M34" s="462"/>
      <c r="N34" s="462"/>
      <c r="O34" s="462"/>
    </row>
    <row r="35" spans="1:15" ht="15" customHeight="1">
      <c r="A35" s="462"/>
      <c r="B35" s="462"/>
      <c r="C35" s="462"/>
      <c r="D35" s="462"/>
      <c r="E35" s="462"/>
      <c r="F35" s="462"/>
      <c r="G35" s="462"/>
      <c r="H35" s="462"/>
      <c r="I35" s="462"/>
      <c r="J35" s="462"/>
      <c r="K35" s="462"/>
      <c r="L35" s="462"/>
      <c r="M35" s="462"/>
      <c r="N35" s="462"/>
      <c r="O35" s="462"/>
    </row>
    <row r="36" spans="1:15" ht="15" customHeight="1">
      <c r="A36" s="462"/>
      <c r="B36" s="462"/>
      <c r="C36" s="462"/>
      <c r="D36" s="462"/>
      <c r="E36" s="462"/>
      <c r="F36" s="462"/>
      <c r="G36" s="462"/>
      <c r="H36" s="462"/>
      <c r="I36" s="462"/>
      <c r="J36" s="462"/>
      <c r="K36" s="462"/>
      <c r="L36" s="462"/>
      <c r="M36" s="462"/>
      <c r="N36" s="462"/>
      <c r="O36" s="462"/>
    </row>
    <row r="37" spans="1:15" ht="15" customHeight="1">
      <c r="A37" s="462"/>
      <c r="B37" s="462"/>
      <c r="C37" s="462"/>
      <c r="D37" s="462"/>
      <c r="E37" s="462"/>
      <c r="F37" s="462"/>
      <c r="G37" s="462"/>
      <c r="H37" s="462"/>
      <c r="I37" s="462"/>
      <c r="J37" s="462"/>
      <c r="K37" s="462"/>
      <c r="L37" s="462"/>
      <c r="M37" s="462"/>
      <c r="N37" s="462"/>
      <c r="O37" s="462"/>
    </row>
    <row r="38" spans="1:15" ht="15" customHeight="1">
      <c r="A38" s="462"/>
      <c r="B38" s="462"/>
      <c r="C38" s="462"/>
      <c r="D38" s="462"/>
      <c r="E38" s="462"/>
      <c r="F38" s="462"/>
      <c r="G38" s="462"/>
      <c r="H38" s="462"/>
      <c r="I38" s="462"/>
      <c r="J38" s="462"/>
      <c r="K38" s="462"/>
      <c r="L38" s="462"/>
      <c r="M38" s="462"/>
      <c r="N38" s="462"/>
      <c r="O38" s="462"/>
    </row>
    <row r="39" spans="1:15" ht="15" customHeight="1">
      <c r="A39" s="462"/>
      <c r="B39" s="462"/>
      <c r="C39" s="462"/>
      <c r="D39" s="462"/>
      <c r="E39" s="462"/>
      <c r="F39" s="462"/>
      <c r="G39" s="462"/>
      <c r="H39" s="462"/>
      <c r="I39" s="462"/>
      <c r="J39" s="462"/>
      <c r="K39" s="462"/>
      <c r="L39" s="462"/>
      <c r="M39" s="462"/>
      <c r="N39" s="462"/>
      <c r="O39" s="462"/>
    </row>
    <row r="40" spans="1:15" ht="15" customHeight="1">
      <c r="A40" s="462"/>
      <c r="B40" s="462"/>
      <c r="C40" s="462"/>
      <c r="D40" s="462"/>
      <c r="E40" s="462"/>
      <c r="F40" s="462"/>
      <c r="G40" s="462"/>
      <c r="H40" s="462"/>
      <c r="I40" s="462"/>
      <c r="J40" s="462"/>
      <c r="K40" s="462"/>
      <c r="L40" s="462"/>
      <c r="M40" s="462"/>
      <c r="N40" s="462"/>
      <c r="O40" s="462"/>
    </row>
    <row r="41" spans="1:15" ht="15" customHeight="1">
      <c r="A41" s="462"/>
      <c r="B41" s="795" t="s">
        <v>500</v>
      </c>
      <c r="C41" s="795"/>
      <c r="D41" s="546"/>
      <c r="E41" s="546"/>
      <c r="F41" s="462"/>
      <c r="G41" s="462"/>
      <c r="H41" s="462"/>
      <c r="I41" s="462"/>
      <c r="J41" s="462"/>
      <c r="K41" s="796" t="s">
        <v>550</v>
      </c>
      <c r="L41" s="796"/>
      <c r="M41" s="796"/>
      <c r="N41" s="796"/>
      <c r="O41" s="462"/>
    </row>
    <row r="42" spans="1:15" ht="15" customHeight="1">
      <c r="A42" s="462"/>
      <c r="B42" s="120" t="s">
        <v>28</v>
      </c>
      <c r="C42" s="462"/>
      <c r="D42" s="462"/>
      <c r="E42" s="462"/>
      <c r="F42" s="462"/>
      <c r="G42" s="462"/>
      <c r="H42" s="462"/>
      <c r="I42" s="462"/>
      <c r="J42" s="462"/>
      <c r="K42" s="462"/>
      <c r="L42" s="224"/>
      <c r="M42" s="462"/>
      <c r="N42" s="462"/>
      <c r="O42" s="462"/>
    </row>
    <row r="43" spans="1:15" ht="20.100000000000001" customHeight="1">
      <c r="A43" s="462"/>
      <c r="B43" s="462"/>
      <c r="C43" s="462"/>
      <c r="D43" s="462"/>
      <c r="E43" s="462"/>
      <c r="F43" s="462"/>
      <c r="G43" s="462"/>
      <c r="H43" s="462"/>
      <c r="I43" s="462"/>
      <c r="J43" s="462"/>
      <c r="K43" s="462"/>
      <c r="L43" s="462"/>
      <c r="M43" s="462"/>
      <c r="N43" s="462"/>
      <c r="O43" s="462"/>
    </row>
    <row r="44" spans="1:15" ht="15.95" customHeight="1">
      <c r="A44" s="462"/>
      <c r="B44" s="784" t="s">
        <v>389</v>
      </c>
      <c r="C44" s="784"/>
      <c r="D44" s="784"/>
      <c r="E44" s="784"/>
      <c r="F44" s="784"/>
      <c r="G44" s="784"/>
      <c r="H44" s="784"/>
      <c r="I44" s="784"/>
      <c r="J44" s="784"/>
      <c r="K44" s="784"/>
      <c r="L44" s="784"/>
      <c r="M44" s="784"/>
      <c r="N44" s="784"/>
      <c r="O44" s="462"/>
    </row>
    <row r="45" spans="1:15" ht="15" customHeight="1">
      <c r="A45" s="462"/>
      <c r="B45" s="462"/>
      <c r="C45" s="462"/>
      <c r="D45" s="462"/>
      <c r="E45" s="462"/>
      <c r="F45" s="462"/>
      <c r="G45" s="462"/>
      <c r="H45" s="462"/>
      <c r="I45" s="462"/>
      <c r="J45" s="462"/>
      <c r="K45" s="462"/>
      <c r="L45" s="462"/>
      <c r="M45" s="462"/>
      <c r="N45" s="462"/>
      <c r="O45" s="462"/>
    </row>
    <row r="46" spans="1:15" ht="15" customHeight="1">
      <c r="A46" s="462"/>
      <c r="B46" s="462"/>
      <c r="C46" s="462"/>
      <c r="D46" s="462"/>
      <c r="E46" s="462"/>
      <c r="F46" s="462"/>
      <c r="G46" s="462"/>
      <c r="H46" s="462"/>
      <c r="I46" s="462"/>
      <c r="J46" s="462"/>
      <c r="K46" s="462"/>
      <c r="L46" s="462"/>
      <c r="M46" s="462"/>
      <c r="N46" s="462"/>
      <c r="O46" s="462"/>
    </row>
    <row r="47" spans="1:15" ht="15" customHeight="1">
      <c r="A47" s="462"/>
      <c r="B47" s="462"/>
      <c r="C47" s="462"/>
      <c r="D47" s="462"/>
      <c r="E47" s="462"/>
      <c r="F47" s="462"/>
      <c r="G47" s="462"/>
      <c r="H47" s="462"/>
      <c r="I47" s="462"/>
      <c r="J47" s="462"/>
      <c r="K47" s="462"/>
      <c r="L47" s="462"/>
      <c r="M47" s="462"/>
      <c r="N47" s="462"/>
      <c r="O47" s="462"/>
    </row>
    <row r="48" spans="1:15" ht="15" customHeight="1">
      <c r="A48" s="462"/>
      <c r="B48" s="462"/>
      <c r="C48" s="462"/>
      <c r="D48" s="462"/>
      <c r="E48" s="462"/>
      <c r="F48" s="462"/>
      <c r="G48" s="462"/>
      <c r="H48" s="462"/>
      <c r="I48" s="462"/>
      <c r="J48" s="462"/>
      <c r="K48" s="462"/>
      <c r="L48" s="462"/>
      <c r="M48" s="462"/>
      <c r="N48" s="462"/>
      <c r="O48" s="462"/>
    </row>
    <row r="49" spans="1:15" ht="15" customHeight="1">
      <c r="A49" s="462"/>
      <c r="B49" s="462"/>
      <c r="C49" s="462"/>
      <c r="D49" s="462"/>
      <c r="E49" s="462"/>
      <c r="F49" s="462"/>
      <c r="G49" s="462"/>
      <c r="H49" s="462"/>
      <c r="I49" s="462"/>
      <c r="J49" s="462"/>
      <c r="K49" s="462"/>
      <c r="L49" s="462"/>
      <c r="M49" s="462"/>
      <c r="N49" s="462"/>
      <c r="O49" s="462"/>
    </row>
    <row r="50" spans="1:15" ht="15" customHeight="1">
      <c r="A50" s="462"/>
      <c r="B50" s="462"/>
      <c r="C50" s="462"/>
      <c r="D50" s="462"/>
      <c r="E50" s="462"/>
      <c r="F50" s="462"/>
      <c r="G50" s="462"/>
      <c r="H50" s="462"/>
      <c r="I50" s="462"/>
      <c r="J50" s="462"/>
      <c r="K50" s="462"/>
      <c r="L50" s="462"/>
      <c r="M50" s="462"/>
      <c r="N50" s="462"/>
      <c r="O50" s="462"/>
    </row>
    <row r="51" spans="1:15" ht="15" customHeight="1">
      <c r="A51" s="462"/>
      <c r="B51" s="462"/>
      <c r="C51" s="462"/>
      <c r="D51" s="462"/>
      <c r="E51" s="462"/>
      <c r="F51" s="462"/>
      <c r="G51" s="462"/>
      <c r="H51" s="462"/>
      <c r="I51" s="462"/>
      <c r="J51" s="462"/>
      <c r="K51" s="462"/>
      <c r="L51" s="462"/>
      <c r="M51" s="462"/>
      <c r="N51" s="462"/>
      <c r="O51" s="462"/>
    </row>
    <row r="52" spans="1:15" ht="15" customHeight="1">
      <c r="A52" s="462"/>
      <c r="B52" s="462"/>
      <c r="C52" s="462"/>
      <c r="D52" s="462"/>
      <c r="E52" s="462"/>
      <c r="F52" s="462"/>
      <c r="G52" s="462"/>
      <c r="H52" s="462"/>
      <c r="I52" s="462"/>
      <c r="J52" s="462"/>
      <c r="K52" s="462"/>
      <c r="L52" s="462"/>
      <c r="M52" s="462"/>
      <c r="N52" s="462"/>
      <c r="O52" s="462"/>
    </row>
    <row r="53" spans="1:15" ht="15" customHeight="1">
      <c r="A53" s="462"/>
      <c r="B53" s="462"/>
      <c r="C53" s="462"/>
      <c r="D53" s="462"/>
      <c r="E53" s="462"/>
      <c r="F53" s="462"/>
      <c r="G53" s="462"/>
      <c r="H53" s="462"/>
      <c r="I53" s="462"/>
      <c r="J53" s="462"/>
      <c r="K53" s="462"/>
      <c r="L53" s="462"/>
      <c r="M53" s="462"/>
      <c r="N53" s="462"/>
      <c r="O53" s="462"/>
    </row>
    <row r="54" spans="1:15" ht="15" customHeight="1">
      <c r="A54" s="462"/>
      <c r="B54" s="462"/>
      <c r="C54" s="462"/>
      <c r="D54" s="462"/>
      <c r="E54" s="462"/>
      <c r="F54" s="462"/>
      <c r="G54" s="462"/>
      <c r="H54" s="462"/>
      <c r="I54" s="462"/>
      <c r="J54" s="462"/>
      <c r="K54" s="462"/>
      <c r="L54" s="462"/>
      <c r="M54" s="462"/>
      <c r="N54" s="462"/>
      <c r="O54" s="462"/>
    </row>
    <row r="55" spans="1:15" ht="15" customHeight="1">
      <c r="A55" s="462"/>
      <c r="B55" s="462"/>
      <c r="C55" s="462"/>
      <c r="D55" s="462"/>
      <c r="E55" s="462"/>
      <c r="F55" s="462"/>
      <c r="G55" s="462"/>
      <c r="H55" s="462"/>
      <c r="I55" s="462"/>
      <c r="J55" s="462"/>
      <c r="K55" s="462"/>
      <c r="L55" s="462"/>
      <c r="M55" s="462"/>
      <c r="N55" s="462"/>
      <c r="O55" s="462"/>
    </row>
    <row r="56" spans="1:15" ht="15" customHeight="1">
      <c r="A56" s="462"/>
      <c r="B56" s="462"/>
      <c r="C56" s="462"/>
      <c r="D56" s="462"/>
      <c r="E56" s="462"/>
      <c r="F56" s="462"/>
      <c r="G56" s="462"/>
      <c r="H56" s="462"/>
      <c r="I56" s="462"/>
      <c r="J56" s="462"/>
      <c r="K56" s="462"/>
      <c r="L56" s="462"/>
      <c r="M56" s="462"/>
      <c r="N56" s="462"/>
      <c r="O56" s="462"/>
    </row>
    <row r="57" spans="1:15" ht="15" customHeight="1">
      <c r="A57" s="462"/>
      <c r="B57" s="462"/>
      <c r="C57" s="462"/>
      <c r="D57" s="462"/>
      <c r="E57" s="462"/>
      <c r="F57" s="462"/>
      <c r="G57" s="462"/>
      <c r="H57" s="462"/>
      <c r="I57" s="462"/>
      <c r="J57" s="462"/>
      <c r="K57" s="462"/>
      <c r="L57" s="462"/>
      <c r="M57" s="462"/>
      <c r="N57" s="462"/>
      <c r="O57" s="462"/>
    </row>
    <row r="58" spans="1:15" ht="15" customHeight="1">
      <c r="A58" s="462"/>
      <c r="B58" s="462"/>
      <c r="C58" s="462"/>
      <c r="D58" s="462"/>
      <c r="E58" s="462"/>
      <c r="F58" s="462"/>
      <c r="G58" s="462"/>
      <c r="H58" s="462"/>
      <c r="I58" s="462"/>
      <c r="J58" s="462"/>
      <c r="K58" s="462"/>
      <c r="L58" s="462"/>
      <c r="M58" s="462"/>
      <c r="N58" s="462"/>
      <c r="O58" s="462"/>
    </row>
    <row r="59" spans="1:15" ht="15" customHeight="1">
      <c r="A59" s="462"/>
      <c r="B59" s="462"/>
      <c r="C59" s="462"/>
      <c r="D59" s="462"/>
      <c r="E59" s="462"/>
      <c r="F59" s="462"/>
      <c r="G59" s="462"/>
      <c r="H59" s="462"/>
      <c r="I59" s="462"/>
      <c r="J59" s="462"/>
      <c r="K59" s="462"/>
      <c r="L59" s="462"/>
      <c r="M59" s="462"/>
      <c r="N59" s="462"/>
      <c r="O59" s="462"/>
    </row>
    <row r="60" spans="1:15" ht="15" customHeight="1">
      <c r="A60" s="462"/>
      <c r="B60" s="462"/>
      <c r="C60" s="462"/>
      <c r="D60" s="462"/>
      <c r="E60" s="462"/>
      <c r="F60" s="462"/>
      <c r="G60" s="462"/>
      <c r="H60" s="462"/>
      <c r="I60" s="462"/>
      <c r="J60" s="462"/>
      <c r="K60" s="462"/>
      <c r="L60" s="462"/>
      <c r="M60" s="462"/>
      <c r="N60" s="462"/>
      <c r="O60" s="462"/>
    </row>
    <row r="61" spans="1:15" ht="15" customHeight="1">
      <c r="A61" s="462"/>
      <c r="B61" s="462"/>
      <c r="C61" s="462"/>
      <c r="D61" s="462"/>
      <c r="E61" s="462"/>
      <c r="F61" s="462"/>
      <c r="G61" s="462"/>
      <c r="H61" s="462"/>
      <c r="I61" s="462"/>
      <c r="J61" s="462"/>
      <c r="K61" s="462"/>
      <c r="L61" s="462"/>
      <c r="M61" s="462"/>
      <c r="N61" s="462"/>
      <c r="O61" s="462"/>
    </row>
    <row r="62" spans="1:15" ht="15" customHeight="1">
      <c r="A62" s="462"/>
      <c r="B62" s="462"/>
      <c r="C62" s="462"/>
      <c r="D62" s="462"/>
      <c r="E62" s="462"/>
      <c r="F62" s="462"/>
      <c r="G62" s="462"/>
      <c r="H62" s="462"/>
      <c r="I62" s="462"/>
      <c r="J62" s="462"/>
      <c r="K62" s="462"/>
      <c r="L62" s="462"/>
      <c r="M62" s="462"/>
      <c r="N62" s="462"/>
      <c r="O62" s="462"/>
    </row>
    <row r="63" spans="1:15" ht="15" customHeight="1">
      <c r="A63" s="462"/>
      <c r="B63" s="462"/>
      <c r="C63" s="462"/>
      <c r="D63" s="462"/>
      <c r="E63" s="462"/>
      <c r="F63" s="462"/>
      <c r="G63" s="462"/>
      <c r="H63" s="462"/>
      <c r="I63" s="462"/>
      <c r="J63" s="462"/>
      <c r="K63" s="462"/>
      <c r="L63" s="462"/>
      <c r="M63" s="462"/>
      <c r="N63" s="462"/>
      <c r="O63" s="462"/>
    </row>
    <row r="64" spans="1:15" ht="15" customHeight="1">
      <c r="A64" s="462"/>
      <c r="B64" s="795" t="s">
        <v>500</v>
      </c>
      <c r="C64" s="795"/>
      <c r="D64" s="462"/>
      <c r="E64" s="462"/>
      <c r="F64" s="462"/>
      <c r="G64" s="462"/>
      <c r="H64" s="462"/>
      <c r="I64" s="462"/>
      <c r="J64" s="462"/>
      <c r="K64" s="796" t="s">
        <v>550</v>
      </c>
      <c r="L64" s="796"/>
      <c r="M64" s="796"/>
      <c r="N64" s="796"/>
      <c r="O64" s="462"/>
    </row>
    <row r="65" spans="1:15" ht="15" customHeight="1">
      <c r="A65" s="462"/>
      <c r="B65" s="120" t="s">
        <v>28</v>
      </c>
      <c r="C65" s="462"/>
      <c r="D65" s="462"/>
      <c r="E65" s="462"/>
      <c r="F65" s="462"/>
      <c r="G65" s="462"/>
      <c r="H65" s="462"/>
      <c r="I65" s="462"/>
      <c r="J65" s="462"/>
      <c r="K65" s="462"/>
      <c r="L65" s="224"/>
      <c r="M65" s="462"/>
      <c r="N65" s="462"/>
      <c r="O65" s="462"/>
    </row>
    <row r="66" spans="1:15" ht="20.100000000000001" customHeight="1">
      <c r="A66" s="462"/>
      <c r="B66" s="462"/>
      <c r="C66" s="462"/>
      <c r="D66" s="462"/>
      <c r="E66" s="462"/>
      <c r="F66" s="462"/>
      <c r="G66" s="462"/>
      <c r="H66" s="462"/>
      <c r="I66" s="462"/>
      <c r="J66" s="462"/>
      <c r="K66" s="462"/>
      <c r="L66" s="462"/>
      <c r="M66" s="462"/>
      <c r="N66" s="462"/>
      <c r="O66" s="462"/>
    </row>
    <row r="67" spans="1:15" ht="15.95" customHeight="1">
      <c r="A67" s="462"/>
      <c r="B67" s="784" t="str">
        <f>"MORTALIDADE PROPORCIONAL " &amp; AUX!E3 &amp; " NO TRIÉNIO 2009-2011, POR CICLO DE VIDA PARA OS GRANDES GRUPOS DE CAUSAS DE MORTE, AMBOS OS SEXOS"</f>
        <v>MORTALIDADE PROPORCIONAL NO  NO TRIÉNIO 2009-2011, POR CICLO DE VIDA PARA OS GRANDES GRUPOS DE CAUSAS DE MORTE, AMBOS OS SEXOS</v>
      </c>
      <c r="C67" s="784"/>
      <c r="D67" s="784"/>
      <c r="E67" s="784"/>
      <c r="F67" s="784"/>
      <c r="G67" s="784"/>
      <c r="H67" s="784"/>
      <c r="I67" s="784"/>
      <c r="J67" s="784"/>
      <c r="K67" s="784"/>
      <c r="L67" s="784"/>
      <c r="M67" s="784"/>
      <c r="N67" s="784"/>
      <c r="O67" s="462"/>
    </row>
    <row r="68" spans="1:15" ht="15" customHeight="1">
      <c r="A68" s="462"/>
      <c r="B68" s="462"/>
      <c r="C68" s="462"/>
      <c r="D68" s="462"/>
      <c r="E68" s="462"/>
      <c r="F68" s="462"/>
      <c r="G68" s="462"/>
      <c r="H68" s="462"/>
      <c r="I68" s="462"/>
      <c r="J68" s="462"/>
      <c r="K68" s="462"/>
      <c r="L68" s="462"/>
      <c r="M68" s="462"/>
      <c r="N68" s="462"/>
      <c r="O68" s="462"/>
    </row>
    <row r="69" spans="1:15" ht="15" customHeight="1">
      <c r="A69" s="462"/>
      <c r="B69" s="462"/>
      <c r="C69" s="462"/>
      <c r="D69" s="462"/>
      <c r="E69" s="462"/>
      <c r="F69" s="462"/>
      <c r="G69" s="462"/>
      <c r="H69" s="462"/>
      <c r="I69" s="462"/>
      <c r="J69" s="462"/>
      <c r="K69" s="462"/>
      <c r="L69" s="462"/>
      <c r="M69" s="462"/>
      <c r="N69" s="462"/>
      <c r="O69" s="462"/>
    </row>
    <row r="70" spans="1:15" ht="15" customHeight="1">
      <c r="A70" s="462"/>
      <c r="B70" s="462"/>
      <c r="C70" s="462"/>
      <c r="D70" s="462"/>
      <c r="E70" s="462"/>
      <c r="F70" s="462"/>
      <c r="G70" s="462"/>
      <c r="H70" s="462"/>
      <c r="I70" s="462"/>
      <c r="J70" s="462"/>
      <c r="K70" s="462"/>
      <c r="L70" s="462"/>
      <c r="M70" s="462"/>
      <c r="N70" s="462"/>
      <c r="O70" s="462"/>
    </row>
    <row r="71" spans="1:15" ht="15" customHeight="1">
      <c r="A71" s="462"/>
      <c r="B71" s="462"/>
      <c r="C71" s="462"/>
      <c r="D71" s="462"/>
      <c r="E71" s="462"/>
      <c r="F71" s="462"/>
      <c r="G71" s="462"/>
      <c r="H71" s="462"/>
      <c r="I71" s="462"/>
      <c r="J71" s="462"/>
      <c r="K71" s="462"/>
      <c r="L71" s="462"/>
      <c r="M71" s="462"/>
      <c r="N71" s="462"/>
      <c r="O71" s="462"/>
    </row>
    <row r="72" spans="1:15" ht="15" customHeight="1">
      <c r="A72" s="462"/>
      <c r="B72" s="462"/>
      <c r="C72" s="462"/>
      <c r="D72" s="462"/>
      <c r="E72" s="462"/>
      <c r="F72" s="462"/>
      <c r="G72" s="462"/>
      <c r="H72" s="462"/>
      <c r="I72" s="462"/>
      <c r="J72" s="462"/>
      <c r="K72" s="462"/>
      <c r="L72" s="462"/>
      <c r="M72" s="462"/>
      <c r="N72" s="462"/>
      <c r="O72" s="462"/>
    </row>
    <row r="73" spans="1:15" ht="15" customHeight="1">
      <c r="A73" s="462"/>
      <c r="B73" s="462"/>
      <c r="C73" s="462"/>
      <c r="D73" s="462"/>
      <c r="E73" s="462"/>
      <c r="F73" s="462"/>
      <c r="G73" s="462"/>
      <c r="H73" s="462"/>
      <c r="I73" s="462"/>
      <c r="J73" s="462"/>
      <c r="K73" s="462"/>
      <c r="L73" s="462"/>
      <c r="M73" s="462"/>
      <c r="N73" s="462"/>
      <c r="O73" s="462"/>
    </row>
    <row r="74" spans="1:15" ht="15" customHeight="1">
      <c r="A74" s="462"/>
      <c r="B74" s="462"/>
      <c r="C74" s="462"/>
      <c r="D74" s="462"/>
      <c r="E74" s="462"/>
      <c r="F74" s="462"/>
      <c r="G74" s="462"/>
      <c r="H74" s="462"/>
      <c r="I74" s="462"/>
      <c r="J74" s="462"/>
      <c r="K74" s="462"/>
      <c r="L74" s="462"/>
      <c r="M74" s="462"/>
      <c r="N74" s="462"/>
      <c r="O74" s="462"/>
    </row>
    <row r="75" spans="1:15" ht="15" customHeight="1">
      <c r="A75" s="462"/>
      <c r="B75" s="462"/>
      <c r="C75" s="462"/>
      <c r="D75" s="462"/>
      <c r="E75" s="462"/>
      <c r="F75" s="462"/>
      <c r="G75" s="462"/>
      <c r="H75" s="462"/>
      <c r="I75" s="462"/>
      <c r="J75" s="462"/>
      <c r="K75" s="462"/>
      <c r="L75" s="462"/>
      <c r="M75" s="462"/>
      <c r="N75" s="462"/>
      <c r="O75" s="462"/>
    </row>
    <row r="76" spans="1:15" ht="15" customHeight="1">
      <c r="A76" s="462"/>
      <c r="B76" s="462"/>
      <c r="C76" s="462"/>
      <c r="D76" s="462"/>
      <c r="E76" s="462"/>
      <c r="F76" s="462"/>
      <c r="G76" s="462"/>
      <c r="H76" s="462"/>
      <c r="I76" s="462"/>
      <c r="J76" s="462"/>
      <c r="K76" s="462"/>
      <c r="L76" s="462"/>
      <c r="M76" s="462"/>
      <c r="N76" s="462"/>
      <c r="O76" s="462"/>
    </row>
    <row r="77" spans="1:15" ht="15" customHeight="1">
      <c r="A77" s="462"/>
      <c r="B77" s="462"/>
      <c r="C77" s="462"/>
      <c r="D77" s="462"/>
      <c r="E77" s="462"/>
      <c r="F77" s="462"/>
      <c r="G77" s="462"/>
      <c r="H77" s="462"/>
      <c r="I77" s="462"/>
      <c r="J77" s="462"/>
      <c r="K77" s="462"/>
      <c r="L77" s="462"/>
      <c r="M77" s="462"/>
      <c r="N77" s="462"/>
      <c r="O77" s="462"/>
    </row>
    <row r="78" spans="1:15" ht="15" customHeight="1">
      <c r="A78" s="462"/>
      <c r="B78" s="462"/>
      <c r="C78" s="462"/>
      <c r="D78" s="462"/>
      <c r="E78" s="462"/>
      <c r="F78" s="462"/>
      <c r="G78" s="462"/>
      <c r="H78" s="462"/>
      <c r="I78" s="462"/>
      <c r="J78" s="462"/>
      <c r="K78" s="462"/>
      <c r="L78" s="462"/>
      <c r="M78" s="462"/>
      <c r="N78" s="462"/>
      <c r="O78" s="462"/>
    </row>
    <row r="79" spans="1:15" ht="15" customHeight="1">
      <c r="A79" s="462"/>
      <c r="B79" s="462"/>
      <c r="C79" s="462"/>
      <c r="D79" s="462"/>
      <c r="E79" s="462"/>
      <c r="F79" s="462"/>
      <c r="G79" s="462"/>
      <c r="H79" s="462"/>
      <c r="I79" s="462"/>
      <c r="J79" s="462"/>
      <c r="K79" s="462"/>
      <c r="L79" s="462"/>
      <c r="M79" s="462"/>
      <c r="N79" s="462"/>
      <c r="O79" s="462"/>
    </row>
    <row r="80" spans="1:15" ht="15" customHeight="1">
      <c r="A80" s="462"/>
      <c r="B80" s="462"/>
      <c r="C80" s="462"/>
      <c r="D80" s="462"/>
      <c r="E80" s="462"/>
      <c r="F80" s="462"/>
      <c r="G80" s="462"/>
      <c r="H80" s="462"/>
      <c r="I80" s="462"/>
      <c r="J80" s="462"/>
      <c r="K80" s="462"/>
      <c r="L80" s="462"/>
      <c r="M80" s="462"/>
      <c r="N80" s="462"/>
      <c r="O80" s="462"/>
    </row>
    <row r="81" spans="1:15" ht="15" customHeight="1">
      <c r="A81" s="462"/>
      <c r="B81" s="462"/>
      <c r="C81" s="462"/>
      <c r="D81" s="462"/>
      <c r="E81" s="462"/>
      <c r="F81" s="462"/>
      <c r="G81" s="462"/>
      <c r="H81" s="462"/>
      <c r="I81" s="462"/>
      <c r="J81" s="462"/>
      <c r="K81" s="462"/>
      <c r="L81" s="462"/>
      <c r="M81" s="462"/>
      <c r="N81" s="462"/>
      <c r="O81" s="462"/>
    </row>
    <row r="82" spans="1:15" ht="15" customHeight="1">
      <c r="A82" s="462"/>
      <c r="B82" s="462"/>
      <c r="C82" s="462"/>
      <c r="D82" s="462"/>
      <c r="E82" s="462"/>
      <c r="F82" s="462"/>
      <c r="G82" s="462"/>
      <c r="H82" s="462"/>
      <c r="I82" s="462"/>
      <c r="J82" s="462"/>
      <c r="K82" s="462"/>
      <c r="L82" s="462"/>
      <c r="M82" s="462"/>
      <c r="N82" s="462"/>
      <c r="O82" s="462"/>
    </row>
    <row r="83" spans="1:15" ht="15" customHeight="1">
      <c r="A83" s="462"/>
      <c r="B83" s="462"/>
      <c r="C83" s="462"/>
      <c r="D83" s="462"/>
      <c r="E83" s="462"/>
      <c r="F83" s="462"/>
      <c r="G83" s="462"/>
      <c r="H83" s="462"/>
      <c r="I83" s="462"/>
      <c r="J83" s="462"/>
      <c r="K83" s="462"/>
      <c r="L83" s="462"/>
      <c r="M83" s="462"/>
      <c r="N83" s="462"/>
      <c r="O83" s="462"/>
    </row>
    <row r="84" spans="1:15" ht="15" customHeight="1">
      <c r="A84" s="462"/>
      <c r="B84" s="462"/>
      <c r="C84" s="462"/>
      <c r="D84" s="462"/>
      <c r="E84" s="462"/>
      <c r="F84" s="462"/>
      <c r="G84" s="462"/>
      <c r="H84" s="462"/>
      <c r="I84" s="462"/>
      <c r="J84" s="462"/>
      <c r="K84" s="462"/>
      <c r="L84" s="462"/>
      <c r="M84" s="462"/>
      <c r="N84" s="462"/>
      <c r="O84" s="462"/>
    </row>
    <row r="85" spans="1:15" ht="15" customHeight="1">
      <c r="A85" s="462"/>
      <c r="B85" s="462"/>
      <c r="C85" s="462"/>
      <c r="D85" s="462"/>
      <c r="E85" s="462"/>
      <c r="F85" s="462"/>
      <c r="G85" s="462"/>
      <c r="H85" s="462"/>
      <c r="I85" s="462"/>
      <c r="J85" s="462"/>
      <c r="K85" s="462"/>
      <c r="L85" s="462"/>
      <c r="M85" s="462"/>
      <c r="N85" s="462"/>
      <c r="O85" s="462"/>
    </row>
    <row r="86" spans="1:15" ht="15" customHeight="1">
      <c r="A86" s="462"/>
      <c r="B86" s="462"/>
      <c r="C86" s="462"/>
      <c r="D86" s="462"/>
      <c r="E86" s="462"/>
      <c r="F86" s="462"/>
      <c r="G86" s="462"/>
      <c r="H86" s="462"/>
      <c r="I86" s="462"/>
      <c r="J86" s="462"/>
      <c r="K86" s="462"/>
      <c r="L86" s="462"/>
      <c r="M86" s="462"/>
      <c r="N86" s="462"/>
      <c r="O86" s="462"/>
    </row>
    <row r="87" spans="1:15" ht="15" customHeight="1">
      <c r="A87" s="462"/>
      <c r="B87" s="462"/>
      <c r="C87" s="462"/>
      <c r="D87" s="462"/>
      <c r="E87" s="462"/>
      <c r="F87" s="462"/>
      <c r="G87" s="462"/>
      <c r="H87" s="462"/>
      <c r="I87" s="462"/>
      <c r="J87" s="462"/>
      <c r="K87" s="462"/>
      <c r="L87" s="462"/>
      <c r="M87" s="462"/>
      <c r="N87" s="462"/>
      <c r="O87" s="462"/>
    </row>
    <row r="88" spans="1:15" ht="15" customHeight="1">
      <c r="A88" s="462"/>
      <c r="B88" s="462"/>
      <c r="C88" s="462"/>
      <c r="D88" s="462"/>
      <c r="E88" s="462"/>
      <c r="F88" s="462"/>
      <c r="G88" s="462"/>
      <c r="H88" s="462"/>
      <c r="I88" s="462"/>
      <c r="J88" s="462"/>
      <c r="K88" s="462"/>
      <c r="L88" s="462"/>
      <c r="M88" s="462"/>
      <c r="N88" s="462"/>
      <c r="O88" s="462"/>
    </row>
    <row r="89" spans="1:15" ht="15" customHeight="1">
      <c r="A89" s="462"/>
      <c r="B89" s="462"/>
      <c r="C89" s="462"/>
      <c r="D89" s="462"/>
      <c r="E89" s="462"/>
      <c r="F89" s="462"/>
      <c r="G89" s="462"/>
      <c r="H89" s="462"/>
      <c r="I89" s="462"/>
      <c r="J89" s="462"/>
      <c r="K89" s="462"/>
      <c r="L89" s="462"/>
      <c r="M89" s="462"/>
      <c r="N89" s="462"/>
      <c r="O89" s="462"/>
    </row>
    <row r="90" spans="1:15" ht="15" customHeight="1">
      <c r="A90" s="462"/>
      <c r="B90" s="462"/>
      <c r="C90" s="462"/>
      <c r="D90" s="462"/>
      <c r="E90" s="462"/>
      <c r="F90" s="462"/>
      <c r="G90" s="462"/>
      <c r="H90" s="462"/>
      <c r="I90" s="462"/>
      <c r="J90" s="462"/>
      <c r="K90" s="462"/>
      <c r="L90" s="462"/>
      <c r="M90" s="462"/>
      <c r="N90" s="462"/>
      <c r="O90" s="462"/>
    </row>
    <row r="91" spans="1:15" ht="15" customHeight="1">
      <c r="A91" s="462"/>
      <c r="B91" s="462"/>
      <c r="C91" s="462"/>
      <c r="D91" s="462"/>
      <c r="E91" s="462"/>
      <c r="F91" s="462"/>
      <c r="G91" s="462"/>
      <c r="H91" s="462"/>
      <c r="I91" s="462"/>
      <c r="J91" s="462"/>
      <c r="K91" s="462"/>
      <c r="L91" s="462"/>
      <c r="M91" s="462"/>
      <c r="N91" s="462"/>
      <c r="O91" s="462"/>
    </row>
    <row r="92" spans="1:15" ht="15" customHeight="1">
      <c r="A92" s="462"/>
      <c r="B92" s="462"/>
      <c r="C92" s="462"/>
      <c r="D92" s="462"/>
      <c r="E92" s="462"/>
      <c r="F92" s="462"/>
      <c r="G92" s="462"/>
      <c r="H92" s="462"/>
      <c r="I92" s="462"/>
      <c r="J92" s="462"/>
      <c r="K92" s="462"/>
      <c r="L92" s="462"/>
      <c r="M92" s="462"/>
      <c r="N92" s="462"/>
      <c r="O92" s="462"/>
    </row>
    <row r="93" spans="1:15" ht="15" customHeight="1">
      <c r="A93" s="462"/>
      <c r="B93" s="462"/>
      <c r="C93" s="462"/>
      <c r="D93" s="462"/>
      <c r="E93" s="462"/>
      <c r="F93" s="462"/>
      <c r="G93" s="462"/>
      <c r="H93" s="462"/>
      <c r="I93" s="462"/>
      <c r="J93" s="462"/>
      <c r="K93" s="462"/>
      <c r="L93" s="462"/>
      <c r="M93" s="462"/>
      <c r="N93" s="462"/>
      <c r="O93" s="462"/>
    </row>
    <row r="94" spans="1:15" ht="15" customHeight="1">
      <c r="A94" s="462"/>
      <c r="B94" s="462"/>
      <c r="C94" s="462"/>
      <c r="D94" s="462"/>
      <c r="E94" s="462"/>
      <c r="F94" s="462"/>
      <c r="G94" s="462"/>
      <c r="H94" s="462"/>
      <c r="I94" s="462"/>
      <c r="J94" s="462"/>
      <c r="K94" s="462"/>
      <c r="L94" s="462"/>
      <c r="M94" s="462"/>
      <c r="N94" s="462"/>
      <c r="O94" s="462"/>
    </row>
    <row r="95" spans="1:15" ht="15" customHeight="1">
      <c r="A95" s="462"/>
      <c r="B95" s="462"/>
      <c r="C95" s="462"/>
      <c r="D95" s="462"/>
      <c r="E95" s="462"/>
      <c r="F95" s="462"/>
      <c r="G95" s="462"/>
      <c r="H95" s="462"/>
      <c r="I95" s="462"/>
      <c r="J95" s="462"/>
      <c r="K95" s="462"/>
      <c r="L95" s="462"/>
      <c r="M95" s="462"/>
      <c r="N95" s="462"/>
      <c r="O95" s="462"/>
    </row>
    <row r="96" spans="1:15" ht="15" customHeight="1">
      <c r="A96" s="462"/>
      <c r="B96" s="462"/>
      <c r="C96" s="462"/>
      <c r="D96" s="462"/>
      <c r="E96" s="462"/>
      <c r="F96" s="462"/>
      <c r="G96" s="462"/>
      <c r="H96" s="462"/>
      <c r="I96" s="462"/>
      <c r="J96" s="462"/>
      <c r="K96" s="462"/>
      <c r="L96" s="462"/>
      <c r="M96" s="462"/>
      <c r="N96" s="462"/>
      <c r="O96" s="462"/>
    </row>
    <row r="97" spans="1:15" ht="15" customHeight="1">
      <c r="A97" s="462"/>
      <c r="B97" s="462"/>
      <c r="C97" s="462"/>
      <c r="D97" s="462"/>
      <c r="E97" s="462"/>
      <c r="F97" s="462"/>
      <c r="G97" s="462"/>
      <c r="H97" s="462"/>
      <c r="I97" s="462"/>
      <c r="J97" s="462"/>
      <c r="K97" s="462"/>
      <c r="L97" s="462"/>
      <c r="M97" s="462"/>
      <c r="N97" s="462"/>
      <c r="O97" s="462"/>
    </row>
    <row r="98" spans="1:15" ht="15" customHeight="1">
      <c r="A98" s="462"/>
      <c r="B98" s="462"/>
      <c r="C98" s="462"/>
      <c r="D98" s="462"/>
      <c r="E98" s="462"/>
      <c r="F98" s="462"/>
      <c r="G98" s="462"/>
      <c r="H98" s="462"/>
      <c r="I98" s="462"/>
      <c r="J98" s="462"/>
      <c r="K98" s="462"/>
      <c r="L98" s="462"/>
      <c r="M98" s="462"/>
      <c r="N98" s="462"/>
      <c r="O98" s="462"/>
    </row>
    <row r="99" spans="1:15" ht="15" customHeight="1">
      <c r="A99" s="462"/>
      <c r="B99" s="795" t="s">
        <v>500</v>
      </c>
      <c r="C99" s="795"/>
      <c r="D99" s="462"/>
      <c r="E99" s="462"/>
      <c r="F99" s="462"/>
      <c r="G99" s="462"/>
      <c r="H99" s="462"/>
      <c r="I99" s="462"/>
      <c r="J99" s="462"/>
      <c r="K99" s="796" t="s">
        <v>550</v>
      </c>
      <c r="L99" s="796"/>
      <c r="M99" s="796"/>
      <c r="N99" s="796"/>
      <c r="O99" s="462"/>
    </row>
    <row r="100" spans="1:15" ht="15" customHeight="1">
      <c r="A100" s="462"/>
      <c r="B100" s="114" t="s">
        <v>28</v>
      </c>
      <c r="C100" s="462"/>
      <c r="D100" s="462"/>
      <c r="E100" s="462"/>
      <c r="F100" s="462"/>
      <c r="G100" s="462"/>
      <c r="H100" s="462"/>
      <c r="I100" s="462"/>
      <c r="J100" s="462"/>
      <c r="K100" s="462"/>
      <c r="L100" s="462"/>
      <c r="M100" s="462"/>
      <c r="N100" s="462"/>
      <c r="O100" s="462"/>
    </row>
    <row r="101" spans="1:15" ht="15" customHeight="1">
      <c r="A101" s="462"/>
      <c r="B101" s="462"/>
      <c r="C101" s="462"/>
      <c r="D101" s="462"/>
      <c r="E101" s="462"/>
      <c r="F101" s="462"/>
      <c r="G101" s="462"/>
      <c r="H101" s="462"/>
      <c r="I101" s="462"/>
      <c r="J101" s="462"/>
      <c r="K101" s="462"/>
      <c r="L101" s="462"/>
      <c r="M101" s="462"/>
      <c r="N101" s="462"/>
      <c r="O101" s="462"/>
    </row>
    <row r="102" spans="1:15" ht="15" customHeight="1">
      <c r="A102" s="462"/>
      <c r="B102" s="462"/>
      <c r="C102" s="462"/>
      <c r="D102" s="462"/>
      <c r="E102" s="462"/>
      <c r="F102" s="462"/>
      <c r="G102" s="462"/>
      <c r="H102" s="462"/>
      <c r="I102" s="462"/>
      <c r="J102" s="462"/>
      <c r="K102" s="462"/>
      <c r="L102" s="462"/>
      <c r="M102" s="462"/>
      <c r="N102" s="462"/>
      <c r="O102" s="462"/>
    </row>
    <row r="103" spans="1:15" ht="15" customHeight="1">
      <c r="A103" s="462"/>
      <c r="B103" s="462"/>
      <c r="C103" s="462"/>
      <c r="D103" s="462"/>
      <c r="E103" s="462"/>
      <c r="F103" s="462"/>
      <c r="G103" s="462"/>
      <c r="H103" s="462"/>
      <c r="I103" s="462"/>
      <c r="J103" s="462"/>
      <c r="K103" s="462"/>
      <c r="L103" s="462"/>
      <c r="M103" s="462"/>
      <c r="N103" s="462"/>
      <c r="O103" s="462"/>
    </row>
    <row r="104" spans="1:15" ht="15" customHeight="1">
      <c r="A104" s="462"/>
      <c r="B104" s="462"/>
      <c r="C104" s="462"/>
      <c r="D104" s="462"/>
      <c r="E104" s="462"/>
      <c r="F104" s="462"/>
      <c r="G104" s="462"/>
      <c r="H104" s="462"/>
      <c r="I104" s="462"/>
      <c r="J104" s="462"/>
      <c r="K104" s="462"/>
      <c r="L104" s="462"/>
      <c r="M104" s="462"/>
      <c r="N104" s="462"/>
      <c r="O104" s="462"/>
    </row>
    <row r="105" spans="1:15" ht="15" customHeight="1" thickBot="1">
      <c r="A105" s="462"/>
      <c r="B105" s="462"/>
      <c r="C105" s="462"/>
      <c r="D105" s="462"/>
      <c r="E105" s="462"/>
      <c r="F105" s="462"/>
      <c r="G105" s="462"/>
      <c r="H105" s="462"/>
      <c r="I105" s="462"/>
      <c r="J105" s="462"/>
      <c r="K105" s="462"/>
      <c r="L105" s="462"/>
      <c r="M105" s="462"/>
      <c r="N105" s="462"/>
      <c r="O105" s="462"/>
    </row>
    <row r="106" spans="1:15" ht="9.9499999999999993" customHeight="1">
      <c r="A106" s="462"/>
      <c r="B106" s="783"/>
      <c r="C106" s="783"/>
      <c r="D106" s="783"/>
      <c r="E106" s="783"/>
      <c r="F106" s="783"/>
      <c r="G106" s="783"/>
      <c r="H106" s="783"/>
      <c r="I106" s="783"/>
      <c r="J106" s="783"/>
      <c r="K106" s="783"/>
      <c r="L106" s="783"/>
      <c r="M106" s="783"/>
      <c r="N106" s="783"/>
      <c r="O106" s="462"/>
    </row>
  </sheetData>
  <mergeCells count="24">
    <mergeCell ref="B106:N106"/>
    <mergeCell ref="B17:N17"/>
    <mergeCell ref="B21:N21"/>
    <mergeCell ref="B44:N44"/>
    <mergeCell ref="B67:N67"/>
    <mergeCell ref="B41:C41"/>
    <mergeCell ref="B64:C64"/>
    <mergeCell ref="B99:C99"/>
    <mergeCell ref="K41:N41"/>
    <mergeCell ref="K64:N64"/>
    <mergeCell ref="K99:N99"/>
    <mergeCell ref="C19:K19"/>
    <mergeCell ref="B15:G15"/>
    <mergeCell ref="B2:C2"/>
    <mergeCell ref="G2:N2"/>
    <mergeCell ref="B6:N6"/>
    <mergeCell ref="B7:G7"/>
    <mergeCell ref="B8:G8"/>
    <mergeCell ref="B9:G9"/>
    <mergeCell ref="B10:G10"/>
    <mergeCell ref="B11:G11"/>
    <mergeCell ref="B12:G12"/>
    <mergeCell ref="B13:G13"/>
    <mergeCell ref="B14:G14"/>
  </mergeCells>
  <hyperlinks>
    <hyperlink ref="B4" location="INDICE!A1" display="Índice"/>
    <hyperlink ref="B100" location="'D01'!A1" display="Topo"/>
    <hyperlink ref="B42" location="'D01'!A1" display="Topo"/>
    <hyperlink ref="B65" location="'D01'!A1" display="Topo"/>
    <hyperlink ref="B9" location="'D01'!A16" display="Óbitos e Taxa Bruta de Mortalidade"/>
    <hyperlink ref="B7:G7" location="'D01'!A17" display="Nascimentos Pré-Termo e Baixo Peso à Nascença"/>
    <hyperlink ref="B9:G9" location="'D01'!A45" display="Óbitos e Taxa Bruta de Mortalidade"/>
    <hyperlink ref="B10:G10" location="'D01'!A63" display="Mortalidade Infantil e Componentes"/>
    <hyperlink ref="B11:G11" location="'D02'!A17" display="Mortalidade Proporcional"/>
    <hyperlink ref="B12:G12" location="'D03'!A17" display="Taxa de Mortalidade Padronizada pela idade (TMP)"/>
    <hyperlink ref="B13:G13" location="'D04'!A17" display="Morbilidade nos Cuidados de Saúde Primários"/>
    <hyperlink ref="B14:G14" location="'D05'!A17" display="VIH /sida"/>
    <hyperlink ref="B15:G15" location="'D05'!A79" display="Tuberculose"/>
  </hyperlinks>
  <pageMargins left="0.39370078740157483" right="0.19685039370078741" top="0.78740157480314965" bottom="0.39370078740157483" header="0.31496062992125984" footer="0.31496062992125984"/>
  <pageSetup paperSize="9" scale="69" orientation="portrait" r:id="rId1"/>
  <rowBreaks count="1" manualBreakCount="1">
    <brk id="6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ED7991B2B3CB74DA37B6978072C2249" ma:contentTypeVersion="1" ma:contentTypeDescription="Criar um novo documento." ma:contentTypeScope="" ma:versionID="959f6b0771c05a7247a1d90732f04596">
  <xsd:schema xmlns:xsd="http://www.w3.org/2001/XMLSchema" xmlns:xs="http://www.w3.org/2001/XMLSchema" xmlns:p="http://schemas.microsoft.com/office/2006/metadata/properties" xmlns:ns1="http://schemas.microsoft.com/sharepoint/v3" targetNamespace="http://schemas.microsoft.com/office/2006/metadata/properties" ma:root="true" ma:fieldsID="743459f17d579ee16e29e1ce809aafc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 ma:hidden="true" ma:internalName="PublishingStartDate">
      <xsd:simpleType>
        <xsd:restriction base="dms:Unknown"/>
      </xsd:simpleType>
    </xsd:element>
    <xsd:element name="PublishingExpirationDate" ma:index="9" nillable="true" ma:displayName="Data de Fim do Agendamento"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40A9911-F3A0-4904-9575-FD634BD6DEB0}"/>
</file>

<file path=customXml/itemProps2.xml><?xml version="1.0" encoding="utf-8"?>
<ds:datastoreItem xmlns:ds="http://schemas.openxmlformats.org/officeDocument/2006/customXml" ds:itemID="{5433573B-F95A-4FC1-B94A-C0CE25D6DC56}"/>
</file>

<file path=customXml/itemProps3.xml><?xml version="1.0" encoding="utf-8"?>
<ds:datastoreItem xmlns:ds="http://schemas.openxmlformats.org/officeDocument/2006/customXml" ds:itemID="{FF36A5C7-BACF-4898-A291-6459BC8CEB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15</vt:i4>
      </vt:variant>
    </vt:vector>
  </HeadingPairs>
  <TitlesOfParts>
    <vt:vector size="15" baseType="lpstr">
      <vt:lpstr>INTRO</vt:lpstr>
      <vt:lpstr>PLS</vt:lpstr>
      <vt:lpstr>INDICE</vt:lpstr>
      <vt:lpstr>LIGA</vt:lpstr>
      <vt:lpstr>A01</vt:lpstr>
      <vt:lpstr>B01</vt:lpstr>
      <vt:lpstr>C01</vt:lpstr>
      <vt:lpstr>D01</vt:lpstr>
      <vt:lpstr>D02</vt:lpstr>
      <vt:lpstr>D03</vt:lpstr>
      <vt:lpstr>D04</vt:lpstr>
      <vt:lpstr>D05</vt:lpstr>
      <vt:lpstr>E01</vt:lpstr>
      <vt:lpstr>FTEC</vt:lpstr>
      <vt:lpstr>AUX</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Observatório Regionais de Saúde</dc:creator>
  <cp:lastModifiedBy>vmachado</cp:lastModifiedBy>
  <cp:lastPrinted>2014-02-24T14:42:31Z</cp:lastPrinted>
  <dcterms:created xsi:type="dcterms:W3CDTF">2012-10-10T17:05:50Z</dcterms:created>
  <dcterms:modified xsi:type="dcterms:W3CDTF">2014-06-13T11:49:12Z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0x0101000ED7991B2B3CB74DA37B6978072C2249</vt:lpwstr>
  </property>
</Properties>
</file>